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kik1-my.sharepoint.com/personal/eva-ingrid_room_kik_ee/Documents/Documents/MKM seotud materjalid/MKM tööstusalade TAT/Lukustamine/"/>
    </mc:Choice>
  </mc:AlternateContent>
  <xr:revisionPtr revIDLastSave="7" documentId="8_{108A755D-89D9-494A-AD05-8854E967E7E8}" xr6:coauthVersionLast="47" xr6:coauthVersionMax="47" xr10:uidLastSave="{D78F9D93-BF74-4560-8307-E27E5E9E4D97}"/>
  <workbookProtection workbookAlgorithmName="SHA-512" workbookHashValue="Z5pmlENx1Pn8SDZrXdlXIS0D1capMq5YU+VLx9Ilz/Iu5KSVT1sFpcFOZD6A7Dx11wmvD2c7wfT6wsBOPsUFuA==" workbookSaltValue="pRc/TOGCeefmhePFNwL8TQ==" workbookSpinCount="100000" lockStructure="1"/>
  <bookViews>
    <workbookView xWindow="-110" yWindow="-110" windowWidth="19420" windowHeight="10560" xr2:uid="{2B6B8863-57D7-4DDA-A981-E1ECAEF72530}"/>
  </bookViews>
  <sheets>
    <sheet name="Leh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8" i="1" l="1"/>
  <c r="B50" i="1"/>
  <c r="B51" i="1"/>
  <c r="B62" i="1"/>
  <c r="B63" i="1"/>
  <c r="B30" i="1"/>
  <c r="D34" i="1"/>
  <c r="C19" i="1"/>
  <c r="C34" i="1"/>
  <c r="B19" i="1"/>
  <c r="B34" i="1"/>
  <c r="D18" i="1"/>
  <c r="D30" i="1"/>
  <c r="C18" i="1"/>
  <c r="C30" i="1"/>
  <c r="B21" i="1"/>
  <c r="C21" i="1"/>
  <c r="D21" i="1"/>
  <c r="E21" i="1"/>
  <c r="E10" i="1"/>
  <c r="B56" i="1"/>
  <c r="B36" i="1"/>
  <c r="E15" i="1"/>
  <c r="D42" i="1"/>
  <c r="C42" i="1"/>
  <c r="B32" i="1"/>
  <c r="E19" i="1"/>
  <c r="E18" i="1"/>
  <c r="B35" i="1"/>
  <c r="B37" i="1"/>
  <c r="B31" i="1"/>
  <c r="B33" i="1"/>
  <c r="B20" i="1"/>
  <c r="B23" i="1"/>
  <c r="B39" i="1"/>
  <c r="B41" i="1"/>
  <c r="B42" i="1"/>
  <c r="B43" i="1"/>
  <c r="E20" i="1"/>
  <c r="B26" i="1"/>
</calcChain>
</file>

<file path=xl/sharedStrings.xml><?xml version="1.0" encoding="utf-8"?>
<sst xmlns="http://schemas.openxmlformats.org/spreadsheetml/2006/main" count="153" uniqueCount="99">
  <si>
    <t>Tööstusaladel taastuvelektri tootmisseadmete kasutuselevõtu hoogustamine</t>
  </si>
  <si>
    <t>Sisestada näitajad</t>
  </si>
  <si>
    <t>Tööstusalades taastuvelektri tootmisseadme jaotus- ja põhivõrguga liitumisvõimsuse kasv</t>
  </si>
  <si>
    <t>Liitumisvõimsuste arv</t>
  </si>
  <si>
    <t>tk</t>
  </si>
  <si>
    <t>Liitumisvõimsus</t>
  </si>
  <si>
    <t>MW</t>
  </si>
  <si>
    <t>Sisesta tegevusega loodavad väljundid</t>
  </si>
  <si>
    <t>Taotluse korral on tegemist prognoosidega, järelaruandluses tuleb sisestada tegelikud aastased väärtused vastavalt aruandlusaastale.</t>
  </si>
  <si>
    <t>Tootmisjaama andmed</t>
  </si>
  <si>
    <t>MWh/a</t>
  </si>
  <si>
    <t>jah/ei</t>
  </si>
  <si>
    <t>Võrguelektri aastane bilants</t>
  </si>
  <si>
    <t>Tekkiv KHG heide</t>
  </si>
  <si>
    <t>Võrgust ostetud KHG heide</t>
  </si>
  <si>
    <t>Summaarselt aastas tööstusalal kasutatud elektri KHG heite vähenemine võrreldes tavaelektri tarbimisega</t>
  </si>
  <si>
    <t>Summaarselt aastas võrku müüdud elektri KHG heite vähenemine võrreldes tavaelektriga</t>
  </si>
  <si>
    <t>Taastuvenergia liik</t>
  </si>
  <si>
    <t>tuuleenergia</t>
  </si>
  <si>
    <t>päikeseenergia</t>
  </si>
  <si>
    <t>hüdroenergia</t>
  </si>
  <si>
    <t>biomassi põletus</t>
  </si>
  <si>
    <t>biogaasi põletus</t>
  </si>
  <si>
    <t>Taastuvenergia võrgust</t>
  </si>
  <si>
    <t>Tavaelekter võrgust</t>
  </si>
  <si>
    <t>jah</t>
  </si>
  <si>
    <t>ei</t>
  </si>
  <si>
    <t>N/A</t>
  </si>
  <si>
    <t>Taastuvelektri tootmisjaamade arv tootmisalal</t>
  </si>
  <si>
    <t>Tootmisjaama võimsus</t>
  </si>
  <si>
    <t>Kasutatav taastuvenergia liik</t>
  </si>
  <si>
    <t>Aastas toodetud taastuvelektri hulk</t>
  </si>
  <si>
    <t>Aastas toodetud taastuvsoojuse hulk</t>
  </si>
  <si>
    <t>Andmeallikas</t>
  </si>
  <si>
    <t>Võrku müüdav elektri hulk</t>
  </si>
  <si>
    <t xml:space="preserve">Võrgust ostetud elektri hulk, MWh, </t>
  </si>
  <si>
    <t>Summaarselt tööstusalal aastas kasutatud elektri hulk</t>
  </si>
  <si>
    <t>Kas võrgust ostetud elekter on taastuvelekter?</t>
  </si>
  <si>
    <t>KHG lokaalne heide energia tootmisel</t>
  </si>
  <si>
    <t>Tootmisjaam 1</t>
  </si>
  <si>
    <t>Tootmisjaam 2</t>
  </si>
  <si>
    <t>Tootmisjaam 3</t>
  </si>
  <si>
    <t>Kas eletrit ostetakse või müüakse rohkem?</t>
  </si>
  <si>
    <t>Biomassi või biogaasi kasutuse korral lisa lähteaine</t>
  </si>
  <si>
    <t>Vedel läga (avatud süsteem)</t>
  </si>
  <si>
    <t>Vedel läga (suletud süsteem)</t>
  </si>
  <si>
    <t>Bio-olmejäätmed</t>
  </si>
  <si>
    <t>Jäätmepuit</t>
  </si>
  <si>
    <t>NA</t>
  </si>
  <si>
    <t>Biomassi või biogaasi lähetaine</t>
  </si>
  <si>
    <t>KHG heide lähteaine tootmisel</t>
  </si>
  <si>
    <t>Reovee sete</t>
  </si>
  <si>
    <t>https://ec.europa.eu/jrc/en/publication/eur-scientific-and-technical-research-reports/jec-well-tank-report-v5</t>
  </si>
  <si>
    <t xml:space="preserve">Tegemist on EL ametliku statistikaga eri tüüpi kütuste toomisel, käitlemisel, transpordil, säilitamisel ja tarbimisel tekkivate CO2e heitmete kohta. Üldviide: https://publications.jrc.ec.europa.eu/repository/bitstream/JRC119036/jec_wtt_v5_119036_annexes_final.pdf  </t>
  </si>
  <si>
    <t>Sealt laadida alla Exceli tabelid (excel_files.zip), millest avada fail JEC_WTTv5_ Appendix 1_Results.xlsx</t>
  </si>
  <si>
    <t>Kokku</t>
  </si>
  <si>
    <t>Soojus maagaasist</t>
  </si>
  <si>
    <t>Soojatootmisel välditav KHG heide</t>
  </si>
  <si>
    <t>Soojatootmise KHG heide</t>
  </si>
  <si>
    <t>Elektritootmisel välditav KHG heide (taastumatu elektri kasutusel)</t>
  </si>
  <si>
    <t>Elektriootmisel säästetud KHG heite</t>
  </si>
  <si>
    <t>Selgitus: sama koguse taastumatu elektri tootmisel tekkiv KHG heide</t>
  </si>
  <si>
    <t>Selgitus: KHG heide, mis kaasneb elektri tootmisega antud projekti raames vahetult tootmise käigus</t>
  </si>
  <si>
    <t>Selgitus: antud projekti tulemusel tekkiv KHG heite vähenemine elektri tootmisel</t>
  </si>
  <si>
    <t>Elektritootmisel tekkiv HKG heide tootmisüksuse kaupa</t>
  </si>
  <si>
    <t>Elektritootmisel tekkiv HKG heide kokku</t>
  </si>
  <si>
    <t>Soojatootmisel tekkiv HKG heide kokku</t>
  </si>
  <si>
    <t>Summaarselt aastas võrku müüdud elektri KHG heite vähenemine võrreldes tavaelektriga tootmisükuse kaupa</t>
  </si>
  <si>
    <t>arvutuskäigud</t>
  </si>
  <si>
    <t>selgitused ja lähteanmdete allikad</t>
  </si>
  <si>
    <t>sisetatavad andmed kollastesse lahtritesse</t>
  </si>
  <si>
    <t>-</t>
  </si>
  <si>
    <r>
      <t>t CO</t>
    </r>
    <r>
      <rPr>
        <vertAlign val="subscript"/>
        <sz val="11"/>
        <color theme="1"/>
        <rFont val="Times New Roman"/>
        <family val="1"/>
      </rPr>
      <t>2e</t>
    </r>
    <r>
      <rPr>
        <sz val="11"/>
        <color theme="1"/>
        <rFont val="Times New Roman"/>
        <family val="1"/>
      </rPr>
      <t>/a</t>
    </r>
  </si>
  <si>
    <r>
      <t>Selgitus: ((kui vaja) biogaasist kasutatava soojuse saamiseks kasutatud kütuse CO</t>
    </r>
    <r>
      <rPr>
        <i/>
        <vertAlign val="subscript"/>
        <sz val="11"/>
        <rFont val="Times New Roman"/>
        <family val="1"/>
      </rPr>
      <t>2e</t>
    </r>
    <r>
      <rPr>
        <i/>
        <sz val="11"/>
        <rFont val="Times New Roman"/>
        <family val="1"/>
      </rPr>
      <t xml:space="preserve"> heitmed (arvestatud on erihetmeid kütuseliigiti tekkvia CH</t>
    </r>
    <r>
      <rPr>
        <i/>
        <vertAlign val="subscript"/>
        <sz val="11"/>
        <rFont val="Times New Roman"/>
        <family val="1"/>
      </rPr>
      <t>4</t>
    </r>
    <r>
      <rPr>
        <i/>
        <sz val="11"/>
        <rFont val="Times New Roman"/>
        <family val="1"/>
      </rPr>
      <t xml:space="preserve"> ja N</t>
    </r>
    <r>
      <rPr>
        <i/>
        <vertAlign val="subscript"/>
        <sz val="11"/>
        <rFont val="Times New Roman"/>
        <family val="1"/>
      </rPr>
      <t>2</t>
    </r>
    <r>
      <rPr>
        <i/>
        <sz val="11"/>
        <rFont val="Times New Roman"/>
        <family val="1"/>
      </rPr>
      <t>O heite näol teisenatuna CO</t>
    </r>
    <r>
      <rPr>
        <i/>
        <vertAlign val="subscript"/>
        <sz val="11"/>
        <rFont val="Times New Roman"/>
        <family val="1"/>
      </rPr>
      <t>2</t>
    </r>
    <r>
      <rPr>
        <i/>
        <sz val="11"/>
        <rFont val="Times New Roman"/>
        <family val="1"/>
      </rPr>
      <t xml:space="preserve"> ekvivalentideks)) + ((kui vaja) elektri tootmiseks kasutatud biogaasi koguse CO</t>
    </r>
    <r>
      <rPr>
        <i/>
        <vertAlign val="subscript"/>
        <sz val="11"/>
        <rFont val="Times New Roman"/>
        <family val="1"/>
      </rPr>
      <t>2e</t>
    </r>
    <r>
      <rPr>
        <i/>
        <sz val="11"/>
        <rFont val="Times New Roman"/>
        <family val="1"/>
      </rPr>
      <t xml:space="preserve"> heitmed  (arvestatud on erihetmeid kütuseliigiti tekkvia CH4 ja N2O heite näol teisenatuna CO2 ekvivalentideks)) + ((kui vaja) elektri tootmiseks kasutatud jäätmepuidu koguse CO</t>
    </r>
    <r>
      <rPr>
        <i/>
        <vertAlign val="subscript"/>
        <sz val="11"/>
        <rFont val="Times New Roman"/>
        <family val="1"/>
      </rPr>
      <t>2e</t>
    </r>
    <r>
      <rPr>
        <i/>
        <sz val="11"/>
        <rFont val="Times New Roman"/>
        <family val="1"/>
      </rPr>
      <t xml:space="preserve"> heitmed  (arvestatud on erihetmeid kütuseliigiti tekkvia CH</t>
    </r>
    <r>
      <rPr>
        <i/>
        <vertAlign val="subscript"/>
        <sz val="11"/>
        <rFont val="Times New Roman"/>
        <family val="1"/>
      </rPr>
      <t>4</t>
    </r>
    <r>
      <rPr>
        <i/>
        <sz val="11"/>
        <rFont val="Times New Roman"/>
        <family val="1"/>
      </rPr>
      <t xml:space="preserve"> ja N</t>
    </r>
    <r>
      <rPr>
        <i/>
        <vertAlign val="subscript"/>
        <sz val="11"/>
        <rFont val="Times New Roman"/>
        <family val="1"/>
      </rPr>
      <t>2</t>
    </r>
    <r>
      <rPr>
        <i/>
        <sz val="11"/>
        <rFont val="Times New Roman"/>
        <family val="1"/>
      </rPr>
      <t>O heite näol teisenatuna CO</t>
    </r>
    <r>
      <rPr>
        <i/>
        <vertAlign val="subscript"/>
        <sz val="11"/>
        <rFont val="Times New Roman"/>
        <family val="1"/>
      </rPr>
      <t>2</t>
    </r>
    <r>
      <rPr>
        <i/>
        <sz val="11"/>
        <rFont val="Times New Roman"/>
        <family val="1"/>
      </rPr>
      <t xml:space="preserve"> ekvivalentideks)) + ((kui vaja) võrgust ostetud päritolusertifikaadile arvestatavad CO</t>
    </r>
    <r>
      <rPr>
        <i/>
        <vertAlign val="subscript"/>
        <sz val="11"/>
        <rFont val="Times New Roman"/>
        <family val="1"/>
      </rPr>
      <t>2e</t>
    </r>
    <r>
      <rPr>
        <i/>
        <sz val="11"/>
        <rFont val="Times New Roman"/>
        <family val="1"/>
      </rPr>
      <t xml:space="preserve"> heitmed 2019. aasta elektri keskmist heidet arvestatdes). Kõik summa komponendid on teisendatud ühikule t/a. Tuulest ja päikesest ning veest elektri tootmisel on CO</t>
    </r>
    <r>
      <rPr>
        <i/>
        <vertAlign val="subscript"/>
        <sz val="11"/>
        <rFont val="Times New Roman"/>
        <family val="1"/>
      </rPr>
      <t>2e</t>
    </r>
    <r>
      <rPr>
        <i/>
        <sz val="11"/>
        <rFont val="Times New Roman"/>
        <family val="1"/>
      </rPr>
      <t xml:space="preserve"> heide arvestatud nulliks. Tekkiv CO</t>
    </r>
    <r>
      <rPr>
        <i/>
        <vertAlign val="subscript"/>
        <sz val="11"/>
        <rFont val="Times New Roman"/>
        <family val="1"/>
      </rPr>
      <t>2ekv</t>
    </r>
    <r>
      <rPr>
        <i/>
        <sz val="11"/>
        <rFont val="Times New Roman"/>
        <family val="1"/>
      </rPr>
      <t xml:space="preserve"> on arvutatud sisestatud andmetest lähtuvalt EL üldtunnustatud heiteväärtustest. Päritoluseritfikaadiga elektri heide on arvestaud 2019. aasta Eesti elektri KHG heite järgi, arvestades et taastuvenergia oasakaal oli 21%. Biogaasi ja biomassi kasutusel, sooja- ja elektri tootmiseks on arvestatud vastavate metaani ning N</t>
    </r>
    <r>
      <rPr>
        <i/>
        <vertAlign val="subscript"/>
        <sz val="11"/>
        <rFont val="Times New Roman"/>
        <family val="1"/>
      </rPr>
      <t>2</t>
    </r>
    <r>
      <rPr>
        <i/>
        <sz val="11"/>
        <rFont val="Times New Roman"/>
        <family val="1"/>
      </rPr>
      <t>O heitest tuleneva eriheidetega olenevalt kasutatud lähteaine tüübist.  Kasutatud konstantide seletused on toodud käesoleval lehel.</t>
    </r>
  </si>
  <si>
    <r>
      <t>tCO</t>
    </r>
    <r>
      <rPr>
        <vertAlign val="subscript"/>
        <sz val="11"/>
        <color theme="1"/>
        <rFont val="Times New Roman"/>
        <family val="1"/>
      </rPr>
      <t>2e</t>
    </r>
    <r>
      <rPr>
        <sz val="11"/>
        <color theme="1"/>
        <rFont val="Times New Roman"/>
        <family val="1"/>
      </rPr>
      <t>/MWh</t>
    </r>
  </si>
  <si>
    <r>
      <rPr>
        <b/>
        <i/>
        <sz val="11"/>
        <color theme="1"/>
        <rFont val="Times New Roman"/>
        <family val="1"/>
      </rPr>
      <t>Andmete e-viide</t>
    </r>
    <r>
      <rPr>
        <i/>
        <sz val="11"/>
        <color theme="1"/>
        <rFont val="Times New Roman"/>
        <family val="1"/>
      </rPr>
      <t xml:space="preserve">: https://publications.jrc.ec.europa.eu/repository/bitstream/JRC119036/jec_wtt_v5_119036_annexes_final.pdf  </t>
    </r>
  </si>
  <si>
    <t>Arvutusteks kasutatud lähteanmded</t>
  </si>
  <si>
    <t>Siin kasutatud summat heidetest: Tootmine ja kohandamine allika juures +  Transformeerimine allika juures + Transportimine turule</t>
  </si>
  <si>
    <r>
      <rPr>
        <b/>
        <i/>
        <sz val="11"/>
        <color theme="1"/>
        <rFont val="Calibri"/>
        <family val="2"/>
        <scheme val="minor"/>
      </rPr>
      <t>0.0358</t>
    </r>
    <r>
      <rPr>
        <i/>
        <sz val="11"/>
        <color theme="1"/>
        <rFont val="Calibri"/>
        <family val="2"/>
        <scheme val="minor"/>
      </rPr>
      <t xml:space="preserve"> tCO</t>
    </r>
    <r>
      <rPr>
        <i/>
        <vertAlign val="subscript"/>
        <sz val="11"/>
        <color theme="1"/>
        <rFont val="Calibri"/>
        <family val="2"/>
        <scheme val="minor"/>
      </rPr>
      <t>2ekv</t>
    </r>
    <r>
      <rPr>
        <i/>
        <sz val="11"/>
        <color theme="1"/>
        <rFont val="Calibri"/>
        <family val="2"/>
        <scheme val="minor"/>
      </rPr>
      <t>/TJ - biogaasi eriheide, mille arvutamisel on arvestatud CH</t>
    </r>
    <r>
      <rPr>
        <i/>
        <vertAlign val="subscript"/>
        <sz val="11"/>
        <color theme="1"/>
        <rFont val="Calibri"/>
        <family val="2"/>
        <scheme val="minor"/>
      </rPr>
      <t>4</t>
    </r>
    <r>
      <rPr>
        <i/>
        <sz val="11"/>
        <color theme="1"/>
        <rFont val="Calibri"/>
        <family val="2"/>
        <scheme val="minor"/>
      </rPr>
      <t xml:space="preserve"> heiteks 0.0025 kg CH4/TJ  *  GWP(CH</t>
    </r>
    <r>
      <rPr>
        <i/>
        <vertAlign val="subscript"/>
        <sz val="11"/>
        <color theme="1"/>
        <rFont val="Calibri"/>
        <family val="2"/>
        <scheme val="minor"/>
      </rPr>
      <t>4</t>
    </r>
    <r>
      <rPr>
        <i/>
        <sz val="11"/>
        <color theme="1"/>
        <rFont val="Calibri"/>
        <family val="2"/>
        <scheme val="minor"/>
      </rPr>
      <t>)  25 t CO</t>
    </r>
    <r>
      <rPr>
        <i/>
        <vertAlign val="subscript"/>
        <sz val="11"/>
        <color theme="1"/>
        <rFont val="Calibri"/>
        <family val="2"/>
        <scheme val="minor"/>
      </rPr>
      <t>2</t>
    </r>
    <r>
      <rPr>
        <i/>
        <sz val="11"/>
        <color theme="1"/>
        <rFont val="Calibri"/>
        <family val="2"/>
        <scheme val="minor"/>
      </rPr>
      <t>/tCH</t>
    </r>
    <r>
      <rPr>
        <i/>
        <vertAlign val="subscript"/>
        <sz val="11"/>
        <color theme="1"/>
        <rFont val="Calibri"/>
        <family val="2"/>
        <scheme val="minor"/>
      </rPr>
      <t>4</t>
    </r>
    <r>
      <rPr>
        <i/>
        <sz val="11"/>
        <color theme="1"/>
        <rFont val="Calibri"/>
        <family val="2"/>
        <scheme val="minor"/>
      </rPr>
      <t xml:space="preserve"> ja N</t>
    </r>
    <r>
      <rPr>
        <i/>
        <vertAlign val="subscript"/>
        <sz val="11"/>
        <color theme="1"/>
        <rFont val="Calibri"/>
        <family val="2"/>
        <scheme val="minor"/>
      </rPr>
      <t>2</t>
    </r>
    <r>
      <rPr>
        <i/>
        <sz val="11"/>
        <color theme="1"/>
        <rFont val="Calibri"/>
        <family val="2"/>
        <scheme val="minor"/>
      </rPr>
      <t>O eriheide 0.12 kg/TJ * GWP(N</t>
    </r>
    <r>
      <rPr>
        <i/>
        <vertAlign val="subscript"/>
        <sz val="11"/>
        <color theme="1"/>
        <rFont val="Calibri"/>
        <family val="2"/>
        <scheme val="minor"/>
      </rPr>
      <t>2</t>
    </r>
    <r>
      <rPr>
        <i/>
        <sz val="11"/>
        <color theme="1"/>
        <rFont val="Calibri"/>
        <family val="2"/>
        <scheme val="minor"/>
      </rPr>
      <t xml:space="preserve">O) 298 tCO2/tN2O. GWP - greenhouse warming potential - on antud kasvuhoonegaasi mõjukordaja atmsofääris võrreldes CO2-ga 100 aasta jooksul. Andmete allikas: Estonia. 2022 National Inventory Report (NIR) | UNFCCC fail NIR_EST_1990-2020_15.04.2022.pdf, lk 81 tabelist 3.10 </t>
    </r>
    <r>
      <rPr>
        <b/>
        <i/>
        <sz val="11"/>
        <color theme="1"/>
        <rFont val="Calibri"/>
        <family val="2"/>
        <scheme val="minor"/>
      </rPr>
      <t>Biogas</t>
    </r>
    <r>
      <rPr>
        <i/>
        <sz val="11"/>
        <color theme="1"/>
        <rFont val="Calibri"/>
        <family val="2"/>
        <scheme val="minor"/>
      </rPr>
      <t>.</t>
    </r>
  </si>
  <si>
    <t>National Inventory Submissions 2022 | UNFCCC</t>
  </si>
  <si>
    <t>lk 81</t>
  </si>
  <si>
    <t>lk 82</t>
  </si>
  <si>
    <t>2020. aasta taastuvelektri osakaal 25%: KHG heide on arvutatud arvestades taastuvelektri kahe aasta tagust osakaalu võrgus müüdavast elektrist aasta keskmise väärtusena</t>
  </si>
  <si>
    <t>ETEK_aastaraamat_2020_veebi (taastuvenergeetika.ee)</t>
  </si>
  <si>
    <t>lk 15</t>
  </si>
  <si>
    <t>2020. aasta elektektri KHG heide ilma taastuvelektrita</t>
  </si>
  <si>
    <r>
      <rPr>
        <b/>
        <i/>
        <sz val="11"/>
        <color theme="1"/>
        <rFont val="Times New Roman"/>
        <family val="1"/>
      </rPr>
      <t>55,29</t>
    </r>
    <r>
      <rPr>
        <i/>
        <sz val="11"/>
        <color theme="1"/>
        <rFont val="Times New Roman"/>
        <family val="1"/>
      </rPr>
      <t xml:space="preserve"> tCO2ekv/TJ - maagaasi eriheide, mille arvutamisel on arvestatud CO2 heiteks 55,26 t/TJ, CH4 heiteks 0,003 kg CH4/TJ  *  GWP(CH4)  25 t CO2/tCH4 ja N2O eriheide 0.12 kg/TJ * GWP(N2O) 298 tCO2/tN2O. GWP - greenhouse warming potential - on antud kasvuhoonegaasi mõjukordaja atmsofääris võrreldes CO2-ga 100 aasta jooksul. Andmete allikas: Estonia. 2020 National Inventory Report (NIR) | UNFCCC fail NIR_EST_1990-2020_15.04.2022.pdf, tabelid : lk. 79-80 “Table 3.9. Carbon emission factors, oxidation factors, and net calorific values for 2020” ja lk. 81-82 “Table 3.10. CH4 and N2O emission factors by fuel, kg/TJ”.</t>
    </r>
  </si>
  <si>
    <t>lk 80-81</t>
  </si>
  <si>
    <r>
      <rPr>
        <b/>
        <i/>
        <sz val="11"/>
        <color theme="1"/>
        <rFont val="Calibri"/>
        <family val="2"/>
        <scheme val="minor"/>
      </rPr>
      <t>0.0698</t>
    </r>
    <r>
      <rPr>
        <i/>
        <sz val="11"/>
        <color theme="1"/>
        <rFont val="Calibri"/>
        <family val="2"/>
        <scheme val="minor"/>
      </rPr>
      <t xml:space="preserve"> tCO</t>
    </r>
    <r>
      <rPr>
        <i/>
        <vertAlign val="subscript"/>
        <sz val="11"/>
        <color theme="1"/>
        <rFont val="Calibri"/>
        <family val="2"/>
        <scheme val="minor"/>
      </rPr>
      <t>2ekv</t>
    </r>
    <r>
      <rPr>
        <i/>
        <sz val="11"/>
        <color theme="1"/>
        <rFont val="Calibri"/>
        <family val="2"/>
        <scheme val="minor"/>
      </rPr>
      <t>/TJ - biogaasi eriheide, mille arvutamisel on arvestatud CH</t>
    </r>
    <r>
      <rPr>
        <i/>
        <vertAlign val="subscript"/>
        <sz val="11"/>
        <color theme="1"/>
        <rFont val="Calibri"/>
        <family val="2"/>
        <scheme val="minor"/>
      </rPr>
      <t>4</t>
    </r>
    <r>
      <rPr>
        <i/>
        <sz val="11"/>
        <color theme="1"/>
        <rFont val="Calibri"/>
        <family val="2"/>
        <scheme val="minor"/>
      </rPr>
      <t xml:space="preserve"> heiteks 0.29 kg CH4/TJ  *  GWP(CH</t>
    </r>
    <r>
      <rPr>
        <i/>
        <vertAlign val="subscript"/>
        <sz val="11"/>
        <color theme="1"/>
        <rFont val="Calibri"/>
        <family val="2"/>
        <scheme val="minor"/>
      </rPr>
      <t>4</t>
    </r>
    <r>
      <rPr>
        <i/>
        <sz val="11"/>
        <color theme="1"/>
        <rFont val="Calibri"/>
        <family val="2"/>
        <scheme val="minor"/>
      </rPr>
      <t>)  25 t CO</t>
    </r>
    <r>
      <rPr>
        <i/>
        <vertAlign val="subscript"/>
        <sz val="11"/>
        <color theme="1"/>
        <rFont val="Calibri"/>
        <family val="2"/>
        <scheme val="minor"/>
      </rPr>
      <t>2</t>
    </r>
    <r>
      <rPr>
        <i/>
        <sz val="11"/>
        <color theme="1"/>
        <rFont val="Calibri"/>
        <family val="2"/>
        <scheme val="minor"/>
      </rPr>
      <t>/tCH</t>
    </r>
    <r>
      <rPr>
        <i/>
        <vertAlign val="subscript"/>
        <sz val="11"/>
        <color theme="1"/>
        <rFont val="Calibri"/>
        <family val="2"/>
        <scheme val="minor"/>
      </rPr>
      <t>4</t>
    </r>
    <r>
      <rPr>
        <i/>
        <sz val="11"/>
        <color theme="1"/>
        <rFont val="Calibri"/>
        <family val="2"/>
        <scheme val="minor"/>
      </rPr>
      <t xml:space="preserve"> ja N</t>
    </r>
    <r>
      <rPr>
        <i/>
        <vertAlign val="subscript"/>
        <sz val="11"/>
        <color theme="1"/>
        <rFont val="Calibri"/>
        <family val="2"/>
        <scheme val="minor"/>
      </rPr>
      <t>2</t>
    </r>
    <r>
      <rPr>
        <i/>
        <sz val="11"/>
        <color theme="1"/>
        <rFont val="Calibri"/>
        <family val="2"/>
        <scheme val="minor"/>
      </rPr>
      <t>O eriheide 0.21 kg/TJ * GWP(N</t>
    </r>
    <r>
      <rPr>
        <i/>
        <vertAlign val="subscript"/>
        <sz val="11"/>
        <color theme="1"/>
        <rFont val="Calibri"/>
        <family val="2"/>
        <scheme val="minor"/>
      </rPr>
      <t>2</t>
    </r>
    <r>
      <rPr>
        <i/>
        <sz val="11"/>
        <color theme="1"/>
        <rFont val="Calibri"/>
        <family val="2"/>
        <scheme val="minor"/>
      </rPr>
      <t xml:space="preserve">O) 298 tCO2/tN2O. GWP - greenhouse warming potential - on antud kasvuhoonegaasi mõjukordaja atmsofääris võrreldes CO2-ga 100 aasta jooksul. Andmete allikas: Estonia. 2022 National Inventory Report (NIR) | UNFCCC fail NIR_EST_1990-2020_15.04.2022.pdf, lk 82 tabelist 3.10 </t>
    </r>
    <r>
      <rPr>
        <b/>
        <i/>
        <sz val="11"/>
        <color theme="1"/>
        <rFont val="Calibri"/>
        <family val="2"/>
        <scheme val="minor"/>
      </rPr>
      <t>Biogas</t>
    </r>
    <r>
      <rPr>
        <i/>
        <sz val="11"/>
        <color theme="1"/>
        <rFont val="Calibri"/>
        <family val="2"/>
        <scheme val="minor"/>
      </rPr>
      <t>.</t>
    </r>
  </si>
  <si>
    <t>Kui tootmisjaamas tekib ka kasutatavat soojusenergiat, siis märkida ka see. Näiteks kui tegu on koostootmisjamaga.</t>
  </si>
  <si>
    <t>%</t>
  </si>
  <si>
    <t>Tootmisjaama elektri ja soojuse summaarne kasutegur</t>
  </si>
  <si>
    <t>Kogu sisendenergiahulk tootisseadme kohta</t>
  </si>
  <si>
    <t>Taotluse korral on tegemist prognoosidega, järelaruandluses tuleb sisestada tegelikud aastased väärtused vastavalt aruandlusaastale. Vastavad näitajad peavad olema samased KOTKASes esitatutega vastava aruandluskohustuse esinemise korral.</t>
  </si>
  <si>
    <t>Ühik</t>
  </si>
  <si>
    <t>lähteandmed arvutuste tegemiseks</t>
  </si>
  <si>
    <t>Tootmisjaama tulemused</t>
  </si>
  <si>
    <t xml:space="preserve">Sisestada seadme tootja tehnilistes andmetes toodud kasutegur seadme kasutusel tüüpilistes töötingimustes. Vastav dokumentatsioon lisada ka projekti taotlusesse lisana. Koostootmisjaamadel lisada elektri ja soojuse koostoomise summaarne kasutegur konkreetse tootmisseadme kasutusel. Kasutegurite keskmise arvutusel on arvestatud eri energiatootjate osakaalu koguenergiatootmisest ja võetud kaalutud keskmine. </t>
  </si>
  <si>
    <t>Soojatootmisel tekkiv HKG heide tootmisüksuse kaupa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</si>
</sst>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0"/>
    <numFmt numFmtId="166" formatCode="0.0"/>
  </numFmts>
  <fonts count="19" x14ac:knownFonts="1">
    <font>
      <sz val="11"/>
      <color theme="1"/>
      <name val="Calibri"/>
      <family val="2"/>
      <charset val="186"/>
      <scheme val="minor"/>
    </font>
    <font>
      <u/>
      <sz val="11"/>
      <color theme="10"/>
      <name val="Calibri"/>
      <family val="2"/>
      <charset val="186"/>
      <scheme val="minor"/>
    </font>
    <font>
      <sz val="8"/>
      <name val="Calibri"/>
      <family val="2"/>
      <charset val="186"/>
      <scheme val="minor"/>
    </font>
    <font>
      <b/>
      <u/>
      <sz val="11"/>
      <color theme="1"/>
      <name val="Times New Roman"/>
      <family val="1"/>
    </font>
    <font>
      <sz val="11"/>
      <color theme="1"/>
      <name val="Times New Roman"/>
      <family val="1"/>
    </font>
    <font>
      <i/>
      <sz val="11"/>
      <color theme="1"/>
      <name val="Times New Roman"/>
      <family val="1"/>
    </font>
    <font>
      <sz val="11"/>
      <name val="Times New Roman"/>
      <family val="1"/>
    </font>
    <font>
      <vertAlign val="subscript"/>
      <sz val="11"/>
      <color theme="1"/>
      <name val="Times New Roman"/>
      <family val="1"/>
    </font>
    <font>
      <i/>
      <sz val="11"/>
      <name val="Times New Roman"/>
      <family val="1"/>
    </font>
    <font>
      <i/>
      <vertAlign val="subscript"/>
      <sz val="11"/>
      <name val="Times New Roman"/>
      <family val="1"/>
    </font>
    <font>
      <b/>
      <sz val="11"/>
      <color theme="1"/>
      <name val="Times New Roman"/>
      <family val="1"/>
    </font>
    <font>
      <i/>
      <u/>
      <sz val="11"/>
      <color theme="10"/>
      <name val="Times New Roman"/>
      <family val="1"/>
    </font>
    <font>
      <b/>
      <i/>
      <sz val="11"/>
      <color theme="1"/>
      <name val="Times New Roman"/>
      <family val="1"/>
    </font>
    <font>
      <b/>
      <sz val="11"/>
      <color theme="0"/>
      <name val="Times New Roman"/>
      <family val="1"/>
    </font>
    <font>
      <i/>
      <sz val="11"/>
      <color theme="1"/>
      <name val="Calibri"/>
      <family val="2"/>
      <scheme val="minor"/>
    </font>
    <font>
      <b/>
      <i/>
      <sz val="11"/>
      <color theme="1"/>
      <name val="Calibri"/>
      <family val="2"/>
      <scheme val="minor"/>
    </font>
    <font>
      <i/>
      <vertAlign val="subscript"/>
      <sz val="11"/>
      <color theme="1"/>
      <name val="Calibri"/>
      <family val="2"/>
      <scheme val="minor"/>
    </font>
    <font>
      <i/>
      <u/>
      <sz val="11"/>
      <color theme="10"/>
      <name val="Calibri"/>
      <family val="2"/>
      <scheme val="minor"/>
    </font>
    <font>
      <sz val="11"/>
      <color rgb="FFFF0000"/>
      <name val="Times New Roman"/>
      <family val="1"/>
    </font>
  </fonts>
  <fills count="12">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bgColor indexed="64"/>
      </patternFill>
    </fill>
    <fill>
      <patternFill patternType="solid">
        <fgColor theme="8" tint="-0.249977111117893"/>
        <bgColor indexed="64"/>
      </patternFill>
    </fill>
    <fill>
      <patternFill patternType="solid">
        <fgColor theme="4" tint="0.79998168889431442"/>
        <bgColor indexed="64"/>
      </patternFill>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4">
    <xf numFmtId="0" fontId="0" fillId="0" borderId="0" xfId="0"/>
    <xf numFmtId="0" fontId="4" fillId="0" borderId="0" xfId="0" applyFont="1"/>
    <xf numFmtId="0" fontId="4" fillId="5" borderId="0" xfId="0" applyFont="1" applyFill="1"/>
    <xf numFmtId="0" fontId="4" fillId="0" borderId="0" xfId="0" applyFont="1" applyAlignment="1">
      <alignment horizontal="center"/>
    </xf>
    <xf numFmtId="0" fontId="5" fillId="0" borderId="0" xfId="0" applyFont="1" applyAlignment="1">
      <alignment horizontal="left"/>
    </xf>
    <xf numFmtId="0" fontId="3" fillId="4" borderId="0" xfId="0" applyFont="1" applyFill="1"/>
    <xf numFmtId="0" fontId="4" fillId="4" borderId="0" xfId="0" applyFont="1" applyFill="1" applyAlignment="1">
      <alignment horizontal="center"/>
    </xf>
    <xf numFmtId="166" fontId="4" fillId="3" borderId="0" xfId="0" applyNumberFormat="1" applyFont="1" applyFill="1" applyAlignment="1">
      <alignment horizontal="center"/>
    </xf>
    <xf numFmtId="166" fontId="4" fillId="3" borderId="0" xfId="0" quotePrefix="1" applyNumberFormat="1" applyFont="1" applyFill="1" applyAlignment="1">
      <alignment horizontal="center"/>
    </xf>
    <xf numFmtId="0" fontId="5" fillId="0" borderId="0" xfId="0" applyFont="1"/>
    <xf numFmtId="0" fontId="4" fillId="3" borderId="0" xfId="0" applyFont="1" applyFill="1" applyAlignment="1">
      <alignment horizontal="center"/>
    </xf>
    <xf numFmtId="0" fontId="8" fillId="0" borderId="0" xfId="0" applyFont="1" applyAlignment="1">
      <alignment vertical="top"/>
    </xf>
    <xf numFmtId="166" fontId="4" fillId="5" borderId="0" xfId="0" applyNumberFormat="1" applyFont="1" applyFill="1"/>
    <xf numFmtId="0" fontId="3" fillId="6" borderId="0" xfId="0" applyFont="1" applyFill="1"/>
    <xf numFmtId="0" fontId="4" fillId="8" borderId="0" xfId="0" applyFont="1" applyFill="1"/>
    <xf numFmtId="0" fontId="4" fillId="7" borderId="0" xfId="0" applyFont="1" applyFill="1" applyAlignment="1">
      <alignment horizontal="center"/>
    </xf>
    <xf numFmtId="165" fontId="4" fillId="7" borderId="0" xfId="0" applyNumberFormat="1" applyFont="1" applyFill="1" applyAlignment="1">
      <alignment horizontal="center"/>
    </xf>
    <xf numFmtId="164" fontId="4" fillId="7" borderId="0" xfId="0" applyNumberFormat="1" applyFont="1" applyFill="1" applyAlignment="1">
      <alignment horizontal="center"/>
    </xf>
    <xf numFmtId="0" fontId="12" fillId="0" borderId="0" xfId="0" applyFont="1"/>
    <xf numFmtId="0" fontId="4" fillId="8" borderId="0" xfId="0" applyFont="1" applyFill="1" applyBorder="1" applyAlignment="1">
      <alignment wrapText="1"/>
    </xf>
    <xf numFmtId="0" fontId="11" fillId="0" borderId="0" xfId="1" applyFont="1" applyAlignment="1">
      <alignment vertical="center"/>
    </xf>
    <xf numFmtId="0" fontId="6" fillId="8" borderId="0" xfId="0" applyFont="1" applyFill="1" applyBorder="1" applyAlignment="1">
      <alignment wrapText="1"/>
    </xf>
    <xf numFmtId="0" fontId="4" fillId="7" borderId="0" xfId="0" applyFont="1" applyFill="1"/>
    <xf numFmtId="0" fontId="4" fillId="0" borderId="0" xfId="0" applyFont="1" applyAlignment="1">
      <alignment horizontal="left" vertical="center"/>
    </xf>
    <xf numFmtId="0" fontId="4" fillId="5" borderId="0" xfId="0" applyFont="1" applyFill="1" applyAlignment="1">
      <alignment vertical="top" wrapText="1"/>
    </xf>
    <xf numFmtId="0" fontId="4" fillId="5" borderId="7" xfId="0" applyFont="1" applyFill="1" applyBorder="1"/>
    <xf numFmtId="166" fontId="10" fillId="3" borderId="8" xfId="0" applyNumberFormat="1" applyFont="1" applyFill="1" applyBorder="1" applyAlignment="1">
      <alignment horizontal="center"/>
    </xf>
    <xf numFmtId="0" fontId="4" fillId="5" borderId="9" xfId="0" applyFont="1" applyFill="1" applyBorder="1"/>
    <xf numFmtId="0" fontId="4" fillId="5" borderId="7" xfId="0" applyFont="1" applyFill="1" applyBorder="1" applyAlignment="1">
      <alignment vertical="top" wrapText="1"/>
    </xf>
    <xf numFmtId="0" fontId="5" fillId="0" borderId="0" xfId="0" applyFont="1" applyFill="1"/>
    <xf numFmtId="0" fontId="4" fillId="0" borderId="0" xfId="0" applyFont="1" applyFill="1"/>
    <xf numFmtId="165" fontId="5" fillId="0" borderId="0" xfId="0" applyNumberFormat="1" applyFont="1" applyFill="1"/>
    <xf numFmtId="0" fontId="14" fillId="0" borderId="10" xfId="0" applyFont="1" applyBorder="1" applyAlignment="1">
      <alignment horizontal="left" vertical="top"/>
    </xf>
    <xf numFmtId="0" fontId="17" fillId="0" borderId="0" xfId="1" applyFont="1"/>
    <xf numFmtId="0" fontId="18" fillId="0" borderId="0" xfId="0" applyFont="1"/>
    <xf numFmtId="164" fontId="4" fillId="0" borderId="0" xfId="0" applyNumberFormat="1" applyFont="1"/>
    <xf numFmtId="0" fontId="10" fillId="6" borderId="0" xfId="0" applyFont="1" applyFill="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3" fillId="4" borderId="0" xfId="0" applyFont="1" applyFill="1" applyAlignment="1">
      <alignment horizontal="center"/>
    </xf>
    <xf numFmtId="0" fontId="3" fillId="0" borderId="0" xfId="0" applyFont="1" applyAlignment="1">
      <alignment horizontal="center"/>
    </xf>
    <xf numFmtId="0" fontId="3" fillId="9" borderId="0" xfId="0" applyFont="1" applyFill="1" applyAlignment="1">
      <alignment horizontal="center"/>
    </xf>
    <xf numFmtId="0" fontId="3" fillId="9" borderId="4" xfId="0" applyFont="1" applyFill="1" applyBorder="1" applyAlignment="1">
      <alignment horizontal="center"/>
    </xf>
    <xf numFmtId="0" fontId="13" fillId="10" borderId="0" xfId="0" applyFont="1" applyFill="1" applyAlignment="1">
      <alignment horizontal="center"/>
    </xf>
    <xf numFmtId="0" fontId="4" fillId="11" borderId="3" xfId="0" applyFont="1" applyFill="1" applyBorder="1" applyAlignment="1">
      <alignment horizontal="center"/>
    </xf>
    <xf numFmtId="0" fontId="4" fillId="11" borderId="4" xfId="0" applyFont="1" applyFill="1" applyBorder="1" applyAlignment="1">
      <alignment horizontal="center"/>
    </xf>
    <xf numFmtId="0" fontId="4" fillId="2" borderId="0" xfId="0" applyFont="1" applyFill="1" applyAlignment="1" applyProtection="1">
      <alignment horizontal="center"/>
      <protection locked="0"/>
    </xf>
    <xf numFmtId="166" fontId="4" fillId="2" borderId="0" xfId="0" applyNumberFormat="1" applyFont="1" applyFill="1" applyAlignment="1" applyProtection="1">
      <alignment horizontal="center"/>
      <protection locked="0"/>
    </xf>
    <xf numFmtId="164" fontId="4" fillId="2" borderId="0" xfId="0" applyNumberFormat="1" applyFont="1" applyFill="1" applyAlignment="1" applyProtection="1">
      <alignment horizontal="center"/>
      <protection locked="0"/>
    </xf>
    <xf numFmtId="0" fontId="6" fillId="2" borderId="0" xfId="0" applyFont="1" applyFill="1" applyAlignment="1" applyProtection="1">
      <alignment horizontal="center"/>
      <protection locked="0"/>
    </xf>
  </cellXfs>
  <cellStyles count="2">
    <cellStyle name="Hüperlink" xfId="1" builtinId="8"/>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nfccc.int/ghg-inventories-annex-i-parties/2022" TargetMode="External"/><Relationship Id="rId7" Type="http://schemas.openxmlformats.org/officeDocument/2006/relationships/printerSettings" Target="../printerSettings/printerSettings1.bin"/><Relationship Id="rId2" Type="http://schemas.openxmlformats.org/officeDocument/2006/relationships/hyperlink" Target="https://unfccc.int/ghg-inventories-annex-i-parties/2022" TargetMode="External"/><Relationship Id="rId1" Type="http://schemas.openxmlformats.org/officeDocument/2006/relationships/hyperlink" Target="https://ec.europa.eu/jrc/en/publication/eur-scientific-and-technical-research-reports/jec-well-tank-report-v5" TargetMode="External"/><Relationship Id="rId6" Type="http://schemas.openxmlformats.org/officeDocument/2006/relationships/hyperlink" Target="https://unfccc.int/ghg-inventories-annex-i-parties/2022" TargetMode="External"/><Relationship Id="rId5" Type="http://schemas.openxmlformats.org/officeDocument/2006/relationships/hyperlink" Target="http://www.taastuvenergeetika.ee/wp-content/uploads/2021/11/ETEK_aastaraamat_2020_veebi.pdf" TargetMode="External"/><Relationship Id="rId4" Type="http://schemas.openxmlformats.org/officeDocument/2006/relationships/hyperlink" Target="http://www.taastuvenergeetika.ee/wp-content/uploads/2021/11/ETEK_aastaraamat_2020_veeb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358AA-3DA2-489B-A3A7-1B8CA1EE9FD6}">
  <dimension ref="A1:P67"/>
  <sheetViews>
    <sheetView tabSelected="1" zoomScale="85" zoomScaleNormal="85" workbookViewId="0">
      <selection activeCell="A12" sqref="A12:F12"/>
    </sheetView>
  </sheetViews>
  <sheetFormatPr defaultColWidth="8.81640625" defaultRowHeight="14" x14ac:dyDescent="0.3"/>
  <cols>
    <col min="1" max="1" width="50.81640625" style="1" customWidth="1"/>
    <col min="2" max="4" width="23.1796875" style="1" customWidth="1"/>
    <col min="5" max="5" width="8.81640625" style="1" bestFit="1" customWidth="1"/>
    <col min="6" max="12" width="8.81640625" style="1"/>
    <col min="13" max="13" width="11.54296875" style="1" bestFit="1" customWidth="1"/>
    <col min="14" max="14" width="8.81640625" style="1" bestFit="1" customWidth="1"/>
    <col min="15" max="15" width="8.81640625" style="1"/>
    <col min="16" max="16" width="8.81640625" style="1" bestFit="1" customWidth="1"/>
    <col min="17" max="16384" width="8.81640625" style="1"/>
  </cols>
  <sheetData>
    <row r="1" spans="1:7" x14ac:dyDescent="0.3">
      <c r="A1" s="45" t="s">
        <v>0</v>
      </c>
      <c r="B1" s="46"/>
      <c r="C1" s="37" t="s">
        <v>70</v>
      </c>
      <c r="D1" s="38"/>
    </row>
    <row r="2" spans="1:7" x14ac:dyDescent="0.3">
      <c r="A2" s="23"/>
      <c r="C2" s="39" t="s">
        <v>68</v>
      </c>
      <c r="D2" s="40"/>
    </row>
    <row r="3" spans="1:7" x14ac:dyDescent="0.3">
      <c r="A3" s="23"/>
      <c r="C3" s="48" t="s">
        <v>95</v>
      </c>
      <c r="D3" s="49"/>
    </row>
    <row r="4" spans="1:7" ht="14.5" thickBot="1" x14ac:dyDescent="0.35">
      <c r="A4" s="23"/>
      <c r="C4" s="41" t="s">
        <v>69</v>
      </c>
      <c r="D4" s="42"/>
    </row>
    <row r="5" spans="1:7" x14ac:dyDescent="0.3">
      <c r="A5" s="44" t="s">
        <v>1</v>
      </c>
      <c r="B5" s="44"/>
      <c r="C5" s="44"/>
    </row>
    <row r="6" spans="1:7" x14ac:dyDescent="0.3">
      <c r="A6" s="43" t="s">
        <v>2</v>
      </c>
      <c r="B6" s="43"/>
      <c r="C6" s="43"/>
    </row>
    <row r="7" spans="1:7" x14ac:dyDescent="0.3">
      <c r="A7" s="2" t="s">
        <v>3</v>
      </c>
      <c r="B7" s="50">
        <v>1</v>
      </c>
      <c r="C7" s="2" t="s">
        <v>4</v>
      </c>
    </row>
    <row r="8" spans="1:7" x14ac:dyDescent="0.3">
      <c r="A8" s="2" t="s">
        <v>5</v>
      </c>
      <c r="B8" s="51">
        <v>50</v>
      </c>
      <c r="C8" s="2" t="s">
        <v>6</v>
      </c>
    </row>
    <row r="9" spans="1:7" x14ac:dyDescent="0.3">
      <c r="A9" s="5" t="s">
        <v>9</v>
      </c>
      <c r="B9" s="6" t="s">
        <v>39</v>
      </c>
      <c r="C9" s="6" t="s">
        <v>40</v>
      </c>
      <c r="D9" s="6" t="s">
        <v>41</v>
      </c>
      <c r="E9" s="6" t="s">
        <v>55</v>
      </c>
      <c r="F9" s="6" t="s">
        <v>94</v>
      </c>
    </row>
    <row r="10" spans="1:7" x14ac:dyDescent="0.3">
      <c r="A10" s="2" t="s">
        <v>91</v>
      </c>
      <c r="B10" s="52">
        <v>0.95</v>
      </c>
      <c r="C10" s="52">
        <v>0.85</v>
      </c>
      <c r="D10" s="52">
        <v>0.75</v>
      </c>
      <c r="E10" s="7">
        <f>(B21/E21*B10+C21/E21*C10+D21/E21*D10)*100</f>
        <v>89.981427981840696</v>
      </c>
      <c r="F10" s="1" t="s">
        <v>90</v>
      </c>
      <c r="G10" s="9" t="s">
        <v>97</v>
      </c>
    </row>
    <row r="11" spans="1:7" x14ac:dyDescent="0.3">
      <c r="A11" s="34"/>
      <c r="B11" s="3"/>
    </row>
    <row r="12" spans="1:7" x14ac:dyDescent="0.3">
      <c r="A12" s="44" t="s">
        <v>7</v>
      </c>
      <c r="B12" s="44"/>
      <c r="C12" s="44"/>
      <c r="D12" s="44"/>
      <c r="E12" s="44"/>
      <c r="F12" s="44"/>
      <c r="G12" s="4" t="s">
        <v>8</v>
      </c>
    </row>
    <row r="13" spans="1:7" x14ac:dyDescent="0.3">
      <c r="A13" s="2" t="s">
        <v>28</v>
      </c>
      <c r="B13" s="50">
        <v>2</v>
      </c>
      <c r="C13" s="1" t="s">
        <v>4</v>
      </c>
    </row>
    <row r="14" spans="1:7" x14ac:dyDescent="0.3">
      <c r="A14" s="5" t="s">
        <v>9</v>
      </c>
      <c r="B14" s="6" t="s">
        <v>39</v>
      </c>
      <c r="C14" s="6" t="s">
        <v>40</v>
      </c>
      <c r="D14" s="6" t="s">
        <v>41</v>
      </c>
      <c r="E14" s="6" t="s">
        <v>55</v>
      </c>
      <c r="F14" s="6" t="s">
        <v>94</v>
      </c>
    </row>
    <row r="15" spans="1:7" x14ac:dyDescent="0.3">
      <c r="A15" s="2" t="s">
        <v>29</v>
      </c>
      <c r="B15" s="51">
        <v>30</v>
      </c>
      <c r="C15" s="51">
        <v>10</v>
      </c>
      <c r="D15" s="51">
        <v>10</v>
      </c>
      <c r="E15" s="7">
        <f>SUM(B15:D15)</f>
        <v>50</v>
      </c>
      <c r="F15" s="1" t="s">
        <v>6</v>
      </c>
    </row>
    <row r="16" spans="1:7" x14ac:dyDescent="0.3">
      <c r="A16" s="2" t="s">
        <v>30</v>
      </c>
      <c r="B16" s="53" t="s">
        <v>21</v>
      </c>
      <c r="C16" s="53" t="s">
        <v>22</v>
      </c>
      <c r="D16" s="53" t="s">
        <v>18</v>
      </c>
      <c r="E16" s="8" t="s">
        <v>71</v>
      </c>
    </row>
    <row r="17" spans="1:7" x14ac:dyDescent="0.3">
      <c r="A17" s="2" t="s">
        <v>43</v>
      </c>
      <c r="B17" s="53" t="s">
        <v>47</v>
      </c>
      <c r="C17" s="53" t="s">
        <v>44</v>
      </c>
      <c r="D17" s="53" t="s">
        <v>48</v>
      </c>
      <c r="E17" s="8" t="s">
        <v>71</v>
      </c>
    </row>
    <row r="18" spans="1:7" x14ac:dyDescent="0.3">
      <c r="A18" s="2" t="s">
        <v>31</v>
      </c>
      <c r="B18" s="51">
        <f>15*365*24*0.23</f>
        <v>30222</v>
      </c>
      <c r="C18" s="51">
        <f>5*365*24*0.25</f>
        <v>10950</v>
      </c>
      <c r="D18" s="51">
        <f>5*365*24*0.5</f>
        <v>21900</v>
      </c>
      <c r="E18" s="7">
        <f t="shared" ref="E18:E21" si="0">SUM(B18:D18)</f>
        <v>63072</v>
      </c>
      <c r="F18" s="1" t="s">
        <v>10</v>
      </c>
    </row>
    <row r="19" spans="1:7" x14ac:dyDescent="0.3">
      <c r="A19" s="2" t="s">
        <v>32</v>
      </c>
      <c r="B19" s="51">
        <f>15*365*24*0.77</f>
        <v>101178</v>
      </c>
      <c r="C19" s="51">
        <f>5*365*24*0.75</f>
        <v>32850</v>
      </c>
      <c r="D19" s="51">
        <v>0</v>
      </c>
      <c r="E19" s="7">
        <f t="shared" si="0"/>
        <v>134028</v>
      </c>
      <c r="F19" s="1" t="s">
        <v>10</v>
      </c>
      <c r="G19" s="9" t="s">
        <v>89</v>
      </c>
    </row>
    <row r="20" spans="1:7" x14ac:dyDescent="0.3">
      <c r="A20" s="2" t="s">
        <v>34</v>
      </c>
      <c r="B20" s="51">
        <f>B18*0.15</f>
        <v>4533.3</v>
      </c>
      <c r="C20" s="51">
        <v>1000</v>
      </c>
      <c r="D20" s="51">
        <v>3000</v>
      </c>
      <c r="E20" s="7">
        <f t="shared" si="0"/>
        <v>8533.2999999999993</v>
      </c>
      <c r="F20" s="1" t="s">
        <v>10</v>
      </c>
    </row>
    <row r="21" spans="1:7" x14ac:dyDescent="0.3">
      <c r="A21" s="2" t="s">
        <v>92</v>
      </c>
      <c r="B21" s="7">
        <f>(SUM(B18:B19)/B10)</f>
        <v>138315.78947368421</v>
      </c>
      <c r="C21" s="7">
        <f>(SUM(C18:C19)/C10)</f>
        <v>51529.411764705881</v>
      </c>
      <c r="D21" s="7">
        <f>(SUM(D18:D19)/D10)</f>
        <v>29200</v>
      </c>
      <c r="E21" s="7">
        <f t="shared" si="0"/>
        <v>219045.20123839009</v>
      </c>
      <c r="F21" s="1" t="s">
        <v>10</v>
      </c>
      <c r="G21" s="4" t="s">
        <v>93</v>
      </c>
    </row>
    <row r="22" spans="1:7" x14ac:dyDescent="0.3">
      <c r="B22" s="3"/>
      <c r="E22" s="35"/>
    </row>
    <row r="23" spans="1:7" x14ac:dyDescent="0.3">
      <c r="A23" s="2" t="s">
        <v>35</v>
      </c>
      <c r="B23" s="50">
        <f>B18*0.3</f>
        <v>9066.6</v>
      </c>
      <c r="C23" s="2" t="s">
        <v>10</v>
      </c>
    </row>
    <row r="24" spans="1:7" x14ac:dyDescent="0.3">
      <c r="A24" s="2" t="s">
        <v>36</v>
      </c>
      <c r="B24" s="51">
        <v>150000</v>
      </c>
      <c r="C24" s="2" t="s">
        <v>10</v>
      </c>
    </row>
    <row r="25" spans="1:7" x14ac:dyDescent="0.3">
      <c r="A25" s="2" t="s">
        <v>37</v>
      </c>
      <c r="B25" s="53" t="s">
        <v>25</v>
      </c>
      <c r="C25" s="2" t="s">
        <v>11</v>
      </c>
    </row>
    <row r="26" spans="1:7" x14ac:dyDescent="0.3">
      <c r="A26" s="2" t="s">
        <v>12</v>
      </c>
      <c r="B26" s="10">
        <f>B23-B20</f>
        <v>4533.3</v>
      </c>
      <c r="C26" s="2" t="s">
        <v>10</v>
      </c>
      <c r="D26" s="9" t="s">
        <v>42</v>
      </c>
    </row>
    <row r="27" spans="1:7" x14ac:dyDescent="0.3">
      <c r="F27" s="9"/>
    </row>
    <row r="28" spans="1:7" x14ac:dyDescent="0.3">
      <c r="A28" s="43" t="s">
        <v>13</v>
      </c>
      <c r="B28" s="43"/>
      <c r="C28" s="43"/>
      <c r="D28" s="43"/>
      <c r="E28" s="43"/>
    </row>
    <row r="29" spans="1:7" x14ac:dyDescent="0.3">
      <c r="A29" s="5" t="s">
        <v>96</v>
      </c>
      <c r="B29" s="6" t="s">
        <v>39</v>
      </c>
      <c r="C29" s="6" t="s">
        <v>40</v>
      </c>
      <c r="D29" s="6" t="s">
        <v>41</v>
      </c>
      <c r="E29" s="6" t="s">
        <v>94</v>
      </c>
    </row>
    <row r="30" spans="1:7" ht="17" x14ac:dyDescent="0.45">
      <c r="A30" s="2" t="s">
        <v>64</v>
      </c>
      <c r="B30" s="7">
        <f>SUM((B16=A47)*B47*B18/B10, (B16=A48)*B48*B18/B10, (B16=A48)*B48*B18/B10, (B16=A49)*B49*B18/B10, (B16=A50)*B50*B18/B10, (B16=A51)*B51*B18/B10,  (B16=A52)*B52*B18/B10)+ SUM((B16=A51)*(B17=A66)*B66*B18/B10, (B16=A50)*(B17=A62)*B62*B18/B10, (B16=A50)*(B17=A63)*B63*B18/B10, (B16=A50)*(B17=A64)*B64*B18/B10, (B16=A50)*(B17=A65)*B65*B18/B10, (B16=A50)*(B17=A67)*B67*B18/B10)</f>
        <v>9.7486222734878982</v>
      </c>
      <c r="C30" s="7">
        <f>SUM((C16=A47)*B47*C18/C10, (C16=A48)*B48*C18/C10, (C16=A48)*B48*C18/C10, (C16=A49)*B49*C18/C10, (C16=A50)*B50*C18/C10, (C16=A51)*B51*C18/C10,  (C16=A52)*B52*C18/C10)+SUM((C16=A51)*(C17=A66)*B66*C18/C10, (C16=A50)*(C17=A62)*B62*C18/C10, (C16=A50)*(C17=A63)*B63*C18/C10, (C16=A50)*(C17=A64)*B64*C18/C10, (C16=A50)*(C17=A65)*B65*C18/C10, (C16=A50)*(C17=A67)*B67*C18/C10)</f>
        <v>-8410.8870110200132</v>
      </c>
      <c r="D30" s="7">
        <f>SUM((D16=A47)*B47*D18/D10, (D16=A48)*B48*D18/D10, (D16=A48)*B48*D18/D10, (D16=A49)*B49*D18/D10, (D16=A50)*B50*D18/D10, (D16=A51)*B51*D18/D10,  (D16=A52)*B52*D18/D10)+SUM((D16=A51)*(D17=A66)*B66*D18/D10, (D16=A50)*(D17=A62)*B62*D18/D10, (D16=A50)*(D17=A63)*B63*D18/D10, (D16=A50)*(D17=A64)*B64*D18/D10, (D16=A50)*(D17=A65)*B65*D18/D10, (D16=A50)*(D17=A67)*B67*D18/D10)</f>
        <v>0</v>
      </c>
      <c r="E30" s="2" t="s">
        <v>72</v>
      </c>
      <c r="F30" s="11" t="s">
        <v>73</v>
      </c>
    </row>
    <row r="31" spans="1:7" ht="17" x14ac:dyDescent="0.45">
      <c r="A31" s="2" t="s">
        <v>65</v>
      </c>
      <c r="B31" s="7">
        <f>SUM(B30:D30)</f>
        <v>-8401.1383887465254</v>
      </c>
      <c r="C31" s="12" t="s">
        <v>72</v>
      </c>
      <c r="F31" s="9" t="s">
        <v>62</v>
      </c>
    </row>
    <row r="32" spans="1:7" ht="17.5" thickBot="1" x14ac:dyDescent="0.5">
      <c r="A32" s="2" t="s">
        <v>59</v>
      </c>
      <c r="B32" s="7">
        <f>SUM(B18:D18)*B55</f>
        <v>49566.090689379787</v>
      </c>
      <c r="C32" s="2" t="s">
        <v>72</v>
      </c>
      <c r="F32" s="9" t="s">
        <v>61</v>
      </c>
    </row>
    <row r="33" spans="1:11" ht="17.5" thickBot="1" x14ac:dyDescent="0.5">
      <c r="A33" s="25" t="s">
        <v>60</v>
      </c>
      <c r="B33" s="26">
        <f>B32-B31</f>
        <v>57967.229078126315</v>
      </c>
      <c r="C33" s="27" t="s">
        <v>72</v>
      </c>
      <c r="F33" s="9" t="s">
        <v>63</v>
      </c>
    </row>
    <row r="34" spans="1:11" ht="17" x14ac:dyDescent="0.45">
      <c r="A34" s="2" t="s">
        <v>98</v>
      </c>
      <c r="B34" s="7">
        <f>SUM((B16=A47)*B47*B19/B10, (B16=A48)*B48*B19/B10, (B16=A48)*B48*B19/B10, (B16=A49)*B49*B19/B10, (B16=A50)*B50*B19/B10, (B16=A51)*B51*B19/B10,  (B16=A52)*B52*B19/B10)+ SUM((B16=A51)*(B17=A66)*B66*B19/B10, (B16=A50)*(B17=A62)*B62*B19/B10, (B16=A50)*(B17=A63)*B63*B19/B10, (B16=A50)*(B17=A64)*B64*B19/B10, (B16=A50)*(B17=A65)*B65*B19/B10, (B16=A50)*(B17=A67)*B67*B19/B10)</f>
        <v>32.63669195906818</v>
      </c>
      <c r="C34" s="7">
        <f>SUM((C16=A47)*B47*C19/C10, (C16=A48)*B48*C19/C10, (C16=A48)*B48*C19/C10, (C16=A49)*B49*C19/C10, (C16=A50)*B50*C19/C10, (C16=A51)*B51*C19/C10,  (C16=A52)*B52*C19/C10)+SUM((C16=A51)*(C17=A66)*B66*C19/C10, (C16=A50)*(C17=A62)*B62*C19/C10, (C16=A50)*(C17=A63)*B63*C19/C10, (C16=A50)*(C17=A64)*B64*C19/C10, (C16=A50)*(C17=A65)*B65*C19/C10, (C16=A50)*(C17=A67)*B67*C19/C10)</f>
        <v>-25232.661033060045</v>
      </c>
      <c r="D34" s="7">
        <f>SUM((D16=A47)*B47*D19/D10, (D16=A48)*B48*D19/D10, (D16=A48)*B48*D19/D10, (D16=A49)*B49*D19/D10, (D16=A50)*B50*D19/D10, (D16=A51)*B51*D19/D10,  (D16=A52)*B52*D19/D10)+SUM((D16=A51)*(D17=A66)*B66*D19/D10, (D16=A50)*(D17=A62)*B62*D19/D10, (D16=A50)*(D17=A63)*B63*D19/D10, (D16=A50)*(D17=A64)*B64*D19/D10, (D16=A50)*(D17=A65)*B65*D19/D10, (D16=A50)*(D17=A67)*B67*D19/D10)</f>
        <v>0</v>
      </c>
      <c r="E34" s="2" t="s">
        <v>72</v>
      </c>
      <c r="F34" s="9"/>
    </row>
    <row r="35" spans="1:11" ht="17" x14ac:dyDescent="0.45">
      <c r="A35" s="2" t="s">
        <v>66</v>
      </c>
      <c r="B35" s="7">
        <f>SUM(B34:D34)</f>
        <v>-25200.024341100976</v>
      </c>
      <c r="C35" s="2" t="s">
        <v>72</v>
      </c>
      <c r="F35" s="9"/>
    </row>
    <row r="36" spans="1:11" ht="17" x14ac:dyDescent="0.45">
      <c r="A36" s="2" t="s">
        <v>57</v>
      </c>
      <c r="B36" s="7">
        <f>SUM(B19:D19)*B56</f>
        <v>26677.447890041687</v>
      </c>
      <c r="C36" s="2" t="s">
        <v>72</v>
      </c>
    </row>
    <row r="37" spans="1:11" ht="17" x14ac:dyDescent="0.45">
      <c r="A37" s="2" t="s">
        <v>58</v>
      </c>
      <c r="B37" s="7">
        <f>B36-B35</f>
        <v>51877.472231142659</v>
      </c>
      <c r="C37" s="2" t="s">
        <v>72</v>
      </c>
    </row>
    <row r="38" spans="1:11" x14ac:dyDescent="0.3">
      <c r="B38" s="3"/>
    </row>
    <row r="39" spans="1:11" ht="17" x14ac:dyDescent="0.45">
      <c r="A39" s="2" t="s">
        <v>14</v>
      </c>
      <c r="B39" s="7">
        <f>(B25=A58)*B23*B54+(B25=A59)*B23*B55</f>
        <v>5343.844152448758</v>
      </c>
      <c r="C39" s="2" t="s">
        <v>72</v>
      </c>
    </row>
    <row r="40" spans="1:11" ht="14.5" thickBot="1" x14ac:dyDescent="0.35">
      <c r="B40" s="3"/>
    </row>
    <row r="41" spans="1:11" ht="32.15" customHeight="1" thickBot="1" x14ac:dyDescent="0.5">
      <c r="A41" s="28" t="s">
        <v>15</v>
      </c>
      <c r="B41" s="26">
        <f>B33-B39</f>
        <v>52623.384925677557</v>
      </c>
      <c r="C41" s="27" t="s">
        <v>72</v>
      </c>
    </row>
    <row r="42" spans="1:11" ht="28.5" thickBot="1" x14ac:dyDescent="0.5">
      <c r="A42" s="24" t="s">
        <v>67</v>
      </c>
      <c r="B42" s="7">
        <f>(B20*$B$55-B20/B18*B30)</f>
        <v>3561.1004749581493</v>
      </c>
      <c r="C42" s="7">
        <f>(C20*$B$55-C20/C18*C30)</f>
        <v>1553.9827478572911</v>
      </c>
      <c r="D42" s="7">
        <f>(D20*$B$55-D20/D18*D30)</f>
        <v>2357.5956378129654</v>
      </c>
      <c r="E42" s="2" t="s">
        <v>72</v>
      </c>
    </row>
    <row r="43" spans="1:11" ht="28.5" thickBot="1" x14ac:dyDescent="0.5">
      <c r="A43" s="28" t="s">
        <v>16</v>
      </c>
      <c r="B43" s="26">
        <f>(B20*$B$55-B20/B18*B30)+(C20*$B$55-C20/C18*C30)+(D20*$B$55-D20/D18*D30)</f>
        <v>7472.6788606284063</v>
      </c>
      <c r="C43" s="27" t="s">
        <v>72</v>
      </c>
    </row>
    <row r="45" spans="1:11" x14ac:dyDescent="0.3">
      <c r="A45" s="47" t="s">
        <v>76</v>
      </c>
      <c r="B45" s="47"/>
      <c r="C45" s="47"/>
      <c r="D45" s="47"/>
      <c r="E45" s="47"/>
      <c r="F45" s="47"/>
      <c r="G45" s="47"/>
      <c r="H45" s="47"/>
      <c r="I45" s="47"/>
      <c r="J45" s="47"/>
      <c r="K45" s="47"/>
    </row>
    <row r="46" spans="1:11" x14ac:dyDescent="0.3">
      <c r="A46" s="13" t="s">
        <v>17</v>
      </c>
      <c r="B46" s="36" t="s">
        <v>38</v>
      </c>
      <c r="C46" s="36"/>
      <c r="D46" s="36" t="s">
        <v>33</v>
      </c>
      <c r="E46" s="36"/>
      <c r="F46" s="36"/>
      <c r="G46" s="36"/>
      <c r="H46" s="36"/>
      <c r="I46" s="36"/>
      <c r="J46" s="36"/>
      <c r="K46" s="36"/>
    </row>
    <row r="47" spans="1:11" ht="17" x14ac:dyDescent="0.45">
      <c r="A47" s="14" t="s">
        <v>18</v>
      </c>
      <c r="B47" s="15">
        <v>0</v>
      </c>
      <c r="C47" s="14" t="s">
        <v>74</v>
      </c>
      <c r="D47" s="9"/>
      <c r="E47" s="9"/>
      <c r="F47" s="9"/>
      <c r="G47" s="9"/>
      <c r="H47" s="9"/>
      <c r="I47" s="9"/>
      <c r="J47" s="9"/>
      <c r="K47" s="9"/>
    </row>
    <row r="48" spans="1:11" ht="17" x14ac:dyDescent="0.45">
      <c r="A48" s="14" t="s">
        <v>19</v>
      </c>
      <c r="B48" s="15">
        <v>0</v>
      </c>
      <c r="C48" s="14" t="s">
        <v>74</v>
      </c>
      <c r="D48" s="9"/>
      <c r="E48" s="9"/>
      <c r="F48" s="9"/>
      <c r="G48" s="9"/>
      <c r="H48" s="9"/>
      <c r="I48" s="9"/>
      <c r="J48" s="9"/>
      <c r="K48" s="9"/>
    </row>
    <row r="49" spans="1:16" ht="17" x14ac:dyDescent="0.45">
      <c r="A49" s="14" t="s">
        <v>20</v>
      </c>
      <c r="B49" s="15">
        <v>0</v>
      </c>
      <c r="C49" s="14" t="s">
        <v>74</v>
      </c>
      <c r="D49" s="9"/>
      <c r="E49" s="9"/>
      <c r="F49" s="9"/>
      <c r="G49" s="9"/>
      <c r="H49" s="9"/>
      <c r="I49" s="9"/>
      <c r="J49" s="9"/>
      <c r="K49" s="9"/>
    </row>
    <row r="50" spans="1:16" ht="17" x14ac:dyDescent="0.45">
      <c r="A50" s="14" t="s">
        <v>22</v>
      </c>
      <c r="B50" s="16">
        <f>0.0358/227.778</f>
        <v>1.5717057837016745E-4</v>
      </c>
      <c r="C50" s="14" t="s">
        <v>74</v>
      </c>
      <c r="D50" s="32" t="s">
        <v>78</v>
      </c>
      <c r="E50" s="9"/>
      <c r="F50" s="33" t="s">
        <v>79</v>
      </c>
      <c r="G50" s="9"/>
      <c r="H50" s="9"/>
      <c r="I50" s="9"/>
      <c r="J50" s="9"/>
      <c r="K50" s="9" t="s">
        <v>80</v>
      </c>
    </row>
    <row r="51" spans="1:16" ht="17" x14ac:dyDescent="0.45">
      <c r="A51" s="14" t="s">
        <v>21</v>
      </c>
      <c r="B51" s="16">
        <f>0.0698/227.778</f>
        <v>3.0643872542563376E-4</v>
      </c>
      <c r="C51" s="14" t="s">
        <v>74</v>
      </c>
      <c r="D51" s="32" t="s">
        <v>88</v>
      </c>
      <c r="E51" s="9"/>
      <c r="F51" s="33" t="s">
        <v>79</v>
      </c>
      <c r="G51" s="9"/>
      <c r="H51" s="9"/>
      <c r="I51" s="9"/>
      <c r="J51" s="9"/>
      <c r="K51" s="9" t="s">
        <v>81</v>
      </c>
    </row>
    <row r="52" spans="1:16" x14ac:dyDescent="0.3">
      <c r="A52" s="14" t="s">
        <v>27</v>
      </c>
      <c r="B52" s="15">
        <v>0</v>
      </c>
      <c r="C52" s="14"/>
      <c r="D52" s="9"/>
      <c r="E52" s="9"/>
      <c r="F52" s="9"/>
      <c r="G52" s="9"/>
      <c r="H52" s="9"/>
      <c r="I52" s="9"/>
      <c r="J52" s="9"/>
      <c r="K52" s="9"/>
    </row>
    <row r="53" spans="1:16" x14ac:dyDescent="0.3">
      <c r="B53" s="3"/>
      <c r="D53" s="9"/>
      <c r="E53" s="9"/>
      <c r="F53" s="9"/>
      <c r="G53" s="9"/>
      <c r="H53" s="9"/>
      <c r="I53" s="9"/>
      <c r="J53" s="9"/>
      <c r="K53" s="9"/>
      <c r="M53" s="29"/>
      <c r="N53" s="30"/>
      <c r="O53" s="30"/>
      <c r="P53" s="30"/>
    </row>
    <row r="54" spans="1:16" ht="17" x14ac:dyDescent="0.45">
      <c r="A54" s="14" t="s">
        <v>23</v>
      </c>
      <c r="B54" s="17">
        <v>0.58939890945324136</v>
      </c>
      <c r="C54" s="14" t="s">
        <v>74</v>
      </c>
      <c r="D54" s="18" t="s">
        <v>82</v>
      </c>
      <c r="E54" s="9"/>
      <c r="F54" s="33" t="s">
        <v>83</v>
      </c>
      <c r="G54" s="9"/>
      <c r="H54" s="9"/>
      <c r="I54" s="9"/>
      <c r="J54" s="9"/>
      <c r="K54" s="9" t="s">
        <v>84</v>
      </c>
      <c r="M54" s="29"/>
      <c r="N54" s="29"/>
      <c r="O54" s="29"/>
      <c r="P54" s="29"/>
    </row>
    <row r="55" spans="1:16" ht="17" x14ac:dyDescent="0.45">
      <c r="A55" s="14" t="s">
        <v>24</v>
      </c>
      <c r="B55" s="17">
        <v>0.78586521260432185</v>
      </c>
      <c r="C55" s="14" t="s">
        <v>74</v>
      </c>
      <c r="D55" s="18" t="s">
        <v>85</v>
      </c>
      <c r="E55" s="9"/>
      <c r="F55" s="33" t="s">
        <v>83</v>
      </c>
      <c r="G55" s="9"/>
      <c r="H55" s="9"/>
      <c r="I55" s="9"/>
      <c r="J55" s="9"/>
      <c r="K55" s="9" t="s">
        <v>84</v>
      </c>
      <c r="M55" s="29"/>
      <c r="N55" s="29"/>
      <c r="O55" s="29"/>
      <c r="P55" s="29"/>
    </row>
    <row r="56" spans="1:16" ht="17" x14ac:dyDescent="0.45">
      <c r="A56" s="14" t="s">
        <v>56</v>
      </c>
      <c r="B56" s="17">
        <f>55.29/277.778</f>
        <v>0.19904384076492737</v>
      </c>
      <c r="C56" s="14" t="s">
        <v>74</v>
      </c>
      <c r="D56" s="9" t="s">
        <v>86</v>
      </c>
      <c r="E56" s="9"/>
      <c r="F56" s="33" t="s">
        <v>79</v>
      </c>
      <c r="G56" s="9"/>
      <c r="H56" s="9"/>
      <c r="I56" s="9"/>
      <c r="J56" s="9"/>
      <c r="K56" s="9" t="s">
        <v>87</v>
      </c>
      <c r="M56" s="29"/>
      <c r="N56" s="29"/>
      <c r="O56" s="29"/>
      <c r="P56" s="29"/>
    </row>
    <row r="57" spans="1:16" x14ac:dyDescent="0.3">
      <c r="M57" s="29"/>
      <c r="N57" s="29"/>
      <c r="O57" s="29"/>
      <c r="P57" s="29"/>
    </row>
    <row r="58" spans="1:16" x14ac:dyDescent="0.3">
      <c r="A58" s="14" t="s">
        <v>25</v>
      </c>
      <c r="M58" s="29"/>
      <c r="N58" s="29"/>
      <c r="O58" s="29"/>
      <c r="P58" s="29"/>
    </row>
    <row r="59" spans="1:16" x14ac:dyDescent="0.3">
      <c r="A59" s="14" t="s">
        <v>26</v>
      </c>
      <c r="M59" s="29"/>
      <c r="N59" s="29"/>
      <c r="O59" s="29"/>
      <c r="P59" s="29"/>
    </row>
    <row r="60" spans="1:16" x14ac:dyDescent="0.3">
      <c r="M60" s="31"/>
      <c r="N60" s="29"/>
      <c r="O60" s="29"/>
      <c r="P60" s="29"/>
    </row>
    <row r="61" spans="1:16" x14ac:dyDescent="0.3">
      <c r="A61" s="13" t="s">
        <v>49</v>
      </c>
      <c r="B61" s="36" t="s">
        <v>50</v>
      </c>
      <c r="C61" s="36"/>
      <c r="D61" s="36" t="s">
        <v>33</v>
      </c>
      <c r="E61" s="36"/>
      <c r="F61" s="36"/>
      <c r="G61" s="36"/>
      <c r="H61" s="36"/>
      <c r="I61" s="36"/>
      <c r="J61" s="36"/>
      <c r="K61" s="36"/>
    </row>
    <row r="62" spans="1:16" ht="17" x14ac:dyDescent="0.45">
      <c r="A62" s="19" t="s">
        <v>44</v>
      </c>
      <c r="B62" s="17">
        <f>-181.406194444444/277.78</f>
        <v>-0.65305707554339409</v>
      </c>
      <c r="C62" s="14" t="s">
        <v>74</v>
      </c>
      <c r="D62" s="9" t="s">
        <v>75</v>
      </c>
    </row>
    <row r="63" spans="1:16" ht="17" x14ac:dyDescent="0.45">
      <c r="A63" s="19" t="s">
        <v>45</v>
      </c>
      <c r="B63" s="17">
        <f>-163.129888888889/277.78</f>
        <v>-0.58726290189678532</v>
      </c>
      <c r="C63" s="14" t="s">
        <v>74</v>
      </c>
      <c r="D63" s="20" t="s">
        <v>52</v>
      </c>
    </row>
    <row r="64" spans="1:16" ht="17" x14ac:dyDescent="0.45">
      <c r="A64" s="19" t="s">
        <v>51</v>
      </c>
      <c r="B64" s="15">
        <v>0</v>
      </c>
      <c r="C64" s="14" t="s">
        <v>74</v>
      </c>
      <c r="D64" s="9" t="s">
        <v>54</v>
      </c>
    </row>
    <row r="65" spans="1:4" ht="17" x14ac:dyDescent="0.45">
      <c r="A65" s="19" t="s">
        <v>46</v>
      </c>
      <c r="B65" s="15">
        <v>0</v>
      </c>
      <c r="C65" s="14" t="s">
        <v>74</v>
      </c>
      <c r="D65" s="9" t="s">
        <v>53</v>
      </c>
    </row>
    <row r="66" spans="1:4" ht="17" x14ac:dyDescent="0.45">
      <c r="A66" s="21" t="s">
        <v>47</v>
      </c>
      <c r="B66" s="15">
        <v>0</v>
      </c>
      <c r="C66" s="14" t="s">
        <v>74</v>
      </c>
      <c r="D66" s="9" t="s">
        <v>77</v>
      </c>
    </row>
    <row r="67" spans="1:4" x14ac:dyDescent="0.3">
      <c r="A67" s="21" t="s">
        <v>48</v>
      </c>
      <c r="B67" s="22"/>
      <c r="C67" s="14"/>
    </row>
  </sheetData>
  <sheetProtection algorithmName="SHA-512" hashValue="6E5IzXUZo59VBizLOj0hobZBWDDTcl07CC3+NaVkYDckRbyHM9ugQ40mrSngB7SZ1paGg/Z0jQwTbxttU1BPFg==" saltValue="jm7n4cjRcP920aMym8cRTQ==" spinCount="100000" sheet="1" objects="1" scenarios="1"/>
  <mergeCells count="14">
    <mergeCell ref="B61:C61"/>
    <mergeCell ref="D61:K61"/>
    <mergeCell ref="C1:D1"/>
    <mergeCell ref="C2:D2"/>
    <mergeCell ref="C4:D4"/>
    <mergeCell ref="A6:C6"/>
    <mergeCell ref="A12:F12"/>
    <mergeCell ref="A28:E28"/>
    <mergeCell ref="A5:C5"/>
    <mergeCell ref="A1:B1"/>
    <mergeCell ref="A45:K45"/>
    <mergeCell ref="D46:K46"/>
    <mergeCell ref="B46:C46"/>
    <mergeCell ref="C3:D3"/>
  </mergeCells>
  <phoneticPr fontId="2" type="noConversion"/>
  <dataValidations count="3">
    <dataValidation type="list" allowBlank="1" showInputMessage="1" showErrorMessage="1" sqref="B16:D16" xr:uid="{394D44DE-10CA-4AB4-89FC-4E597A4D235D}">
      <formula1>$A$47:$A$52</formula1>
    </dataValidation>
    <dataValidation type="list" allowBlank="1" showInputMessage="1" showErrorMessage="1" sqref="B25" xr:uid="{6A3DC02F-01A0-4D80-8B24-8E4526B2F109}">
      <formula1>$A$58:$A$59</formula1>
    </dataValidation>
    <dataValidation type="list" allowBlank="1" showInputMessage="1" showErrorMessage="1" sqref="B17:D17" xr:uid="{EE4E18AB-CA8F-457D-9174-ECD4AA5A1843}">
      <formula1>$A$62:$A$67</formula1>
    </dataValidation>
  </dataValidations>
  <hyperlinks>
    <hyperlink ref="D63" r:id="rId1" xr:uid="{D65E3B37-E562-4B65-8DEE-78BA021AB783}"/>
    <hyperlink ref="F50" r:id="rId2" xr:uid="{47B23462-6EBF-40C6-9E7F-BF9D60FEE056}"/>
    <hyperlink ref="F51" r:id="rId3" xr:uid="{BFD0CA1C-9438-48BE-8CB7-EF715C2CFC58}"/>
    <hyperlink ref="F54" r:id="rId4" display="http://www.taastuvenergeetika.ee/wp-content/uploads/2021/11/ETEK_aastaraamat_2020_veebi.pdf" xr:uid="{586BBBCD-8E6B-4026-9670-0C1C75C2DAA7}"/>
    <hyperlink ref="F55" r:id="rId5" display="http://www.taastuvenergeetika.ee/wp-content/uploads/2021/11/ETEK_aastaraamat_2020_veebi.pdf" xr:uid="{13AB4DF6-BE15-4491-9A74-F35F571A64CE}"/>
    <hyperlink ref="F56" r:id="rId6" xr:uid="{1721C39C-19B4-4C28-BADD-9E4021310458}"/>
  </hyperlinks>
  <pageMargins left="0.7" right="0.7" top="0.75" bottom="0.75" header="0.3" footer="0.3"/>
  <pageSetup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Leht1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Eva-Ingrid Rõõm</dc:creator>
  <cp:lastModifiedBy>Eva-Ingrid Rõõm</cp:lastModifiedBy>
  <dcterms:created xsi:type="dcterms:W3CDTF">2022-03-17T11:42:41Z</dcterms:created>
  <dcterms:modified xsi:type="dcterms:W3CDTF">2022-12-08T08:54:35Z</dcterms:modified>
</cp:coreProperties>
</file>