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Eva-Ingrid.Room\AppData\Local\Microsoft\Windows\INetCache\Content.Outlook\2L5OUBAK\"/>
    </mc:Choice>
  </mc:AlternateContent>
  <xr:revisionPtr revIDLastSave="0" documentId="13_ncr:1_{AAE7DB7B-C763-42FE-81F5-562EE2015410}" xr6:coauthVersionLast="47" xr6:coauthVersionMax="47" xr10:uidLastSave="{00000000-0000-0000-0000-000000000000}"/>
  <workbookProtection workbookAlgorithmName="SHA-512" workbookHashValue="i5AIUMtLJo98RI0qPeMlXGC7llqpRX2W9ATF/YrhHatV2XWfeIhQbKE76fF0veYRkwmBKBu4t0pVlGSozd0n+A==" workbookSaltValue="t7qKXs0bvmJdwDB2HG/8VQ==" workbookSpinCount="100000" lockStructure="1"/>
  <bookViews>
    <workbookView xWindow="-110" yWindow="-110" windowWidth="19420" windowHeight="10560" xr2:uid="{2B6B8863-57D7-4DDA-A981-E1ECAEF72530}"/>
  </bookViews>
  <sheets>
    <sheet name="Elekter ja soojus" sheetId="1" r:id="rId1"/>
    <sheet name="Elekter &gt; E&amp;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59" i="2" l="1"/>
  <c r="B63" i="1"/>
  <c r="B58" i="1"/>
  <c r="E47" i="1"/>
  <c r="B95" i="2"/>
  <c r="B73" i="2" s="1"/>
  <c r="B89" i="2"/>
  <c r="B88" i="2"/>
  <c r="B94" i="1"/>
  <c r="B88" i="1"/>
  <c r="B87" i="1"/>
  <c r="B76" i="2"/>
  <c r="B51" i="2"/>
  <c r="D46" i="2"/>
  <c r="C46" i="2"/>
  <c r="B46" i="2"/>
  <c r="B52" i="2"/>
  <c r="D46" i="1"/>
  <c r="B46" i="1"/>
  <c r="B11" i="2"/>
  <c r="B11" i="1"/>
  <c r="E46" i="2" l="1"/>
  <c r="C52" i="2"/>
  <c r="D52" i="2"/>
  <c r="B99" i="2"/>
  <c r="B98" i="2"/>
  <c r="D49" i="2"/>
  <c r="D60" i="2" s="1"/>
  <c r="C49" i="2"/>
  <c r="E39" i="2"/>
  <c r="D37" i="2"/>
  <c r="C37" i="2"/>
  <c r="B37" i="2"/>
  <c r="E36" i="2"/>
  <c r="E35" i="2"/>
  <c r="D30" i="2"/>
  <c r="C30" i="2"/>
  <c r="E29" i="2"/>
  <c r="E27" i="2"/>
  <c r="E26" i="2"/>
  <c r="B30" i="2"/>
  <c r="D25" i="2"/>
  <c r="D41" i="2" s="1"/>
  <c r="C25" i="2"/>
  <c r="C41" i="2" s="1"/>
  <c r="B25" i="2"/>
  <c r="E22" i="2"/>
  <c r="B9" i="2"/>
  <c r="B16" i="2" s="1"/>
  <c r="B8" i="2"/>
  <c r="B8" i="1"/>
  <c r="E35" i="1"/>
  <c r="B9" i="1"/>
  <c r="B16" i="1" s="1"/>
  <c r="D49" i="1"/>
  <c r="C37" i="1"/>
  <c r="D37" i="1"/>
  <c r="B37" i="1"/>
  <c r="D30" i="1"/>
  <c r="E29" i="1"/>
  <c r="E27" i="1"/>
  <c r="D25" i="1"/>
  <c r="C26" i="1"/>
  <c r="C25" i="1"/>
  <c r="B26" i="1"/>
  <c r="B25" i="1"/>
  <c r="E39" i="1"/>
  <c r="E36" i="1"/>
  <c r="E22" i="1"/>
  <c r="B98" i="1"/>
  <c r="B97" i="1"/>
  <c r="C60" i="2" l="1"/>
  <c r="D59" i="1"/>
  <c r="D43" i="2"/>
  <c r="D55" i="2"/>
  <c r="C43" i="2"/>
  <c r="C55" i="2"/>
  <c r="D70" i="1"/>
  <c r="D51" i="1"/>
  <c r="B71" i="2"/>
  <c r="C49" i="1"/>
  <c r="C59" i="1" s="1"/>
  <c r="C70" i="1"/>
  <c r="D28" i="1"/>
  <c r="D66" i="1"/>
  <c r="B28" i="1"/>
  <c r="B66" i="1"/>
  <c r="B68" i="1"/>
  <c r="B72" i="1"/>
  <c r="B70" i="1"/>
  <c r="C28" i="1"/>
  <c r="C66" i="1"/>
  <c r="B49" i="1"/>
  <c r="B59" i="1" s="1"/>
  <c r="C45" i="2"/>
  <c r="C47" i="2" s="1"/>
  <c r="C51" i="2" s="1"/>
  <c r="E37" i="2"/>
  <c r="D71" i="2"/>
  <c r="E25" i="2"/>
  <c r="B69" i="2"/>
  <c r="C67" i="2"/>
  <c r="E30" i="2"/>
  <c r="D45" i="2"/>
  <c r="D47" i="2" s="1"/>
  <c r="D51" i="2" s="1"/>
  <c r="C71" i="2"/>
  <c r="B28" i="2"/>
  <c r="B49" i="2"/>
  <c r="B60" i="2" s="1"/>
  <c r="B67" i="2"/>
  <c r="C28" i="2"/>
  <c r="D28" i="2"/>
  <c r="B41" i="2"/>
  <c r="B55" i="2" s="1"/>
  <c r="D67" i="2"/>
  <c r="C30" i="1"/>
  <c r="B30" i="1"/>
  <c r="C41" i="1"/>
  <c r="E37" i="1"/>
  <c r="B41" i="1"/>
  <c r="B54" i="1" s="1"/>
  <c r="D41" i="1"/>
  <c r="E26" i="1"/>
  <c r="E25" i="1"/>
  <c r="B61" i="2" l="1"/>
  <c r="B56" i="2"/>
  <c r="B62" i="2"/>
  <c r="B60" i="1"/>
  <c r="D79" i="1"/>
  <c r="D43" i="1"/>
  <c r="D54" i="1"/>
  <c r="B45" i="1"/>
  <c r="B47" i="1" s="1"/>
  <c r="B43" i="1"/>
  <c r="B51" i="1"/>
  <c r="C51" i="1"/>
  <c r="B43" i="2"/>
  <c r="E43" i="2" s="1"/>
  <c r="B45" i="2"/>
  <c r="B47" i="2" s="1"/>
  <c r="C79" i="1"/>
  <c r="E49" i="1"/>
  <c r="E30" i="1"/>
  <c r="C45" i="1"/>
  <c r="C80" i="2"/>
  <c r="B68" i="2"/>
  <c r="B70" i="2" s="1"/>
  <c r="B72" i="2"/>
  <c r="B74" i="2" s="1"/>
  <c r="E51" i="2"/>
  <c r="E49" i="2"/>
  <c r="E28" i="2"/>
  <c r="B81" i="2"/>
  <c r="B80" i="2"/>
  <c r="E41" i="2"/>
  <c r="D80" i="2"/>
  <c r="D45" i="1"/>
  <c r="E41" i="1"/>
  <c r="B71" i="1"/>
  <c r="B73" i="1" s="1"/>
  <c r="B67" i="1"/>
  <c r="B69" i="1" s="1"/>
  <c r="B63" i="2" l="1"/>
  <c r="B64" i="2" s="1"/>
  <c r="E51" i="1"/>
  <c r="B57" i="2"/>
  <c r="B58" i="2" s="1"/>
  <c r="E47" i="2"/>
  <c r="B61" i="1"/>
  <c r="B62" i="1" s="1"/>
  <c r="E45" i="2"/>
  <c r="D47" i="1"/>
  <c r="E45" i="1"/>
  <c r="B75" i="1"/>
  <c r="B17" i="2" l="1"/>
  <c r="C42" i="1"/>
  <c r="C54" i="1" s="1"/>
  <c r="B55" i="1" s="1"/>
  <c r="B78" i="1"/>
  <c r="B79" i="1"/>
  <c r="B80" i="1"/>
  <c r="E28" i="1"/>
  <c r="C46" i="1" l="1"/>
  <c r="C47" i="1" s="1"/>
  <c r="B56" i="1" s="1"/>
  <c r="B57" i="1" s="1"/>
  <c r="C43" i="1"/>
  <c r="E43" i="1" s="1"/>
  <c r="E42" i="1"/>
  <c r="B79" i="2"/>
  <c r="B17" i="1" l="1"/>
  <c r="E46" i="1"/>
  <c r="E42" i="2"/>
</calcChain>
</file>

<file path=xl/sharedStrings.xml><?xml version="1.0" encoding="utf-8"?>
<sst xmlns="http://schemas.openxmlformats.org/spreadsheetml/2006/main" count="527" uniqueCount="187">
  <si>
    <t>Sisestada näitajad</t>
  </si>
  <si>
    <t>tk</t>
  </si>
  <si>
    <t>MW</t>
  </si>
  <si>
    <t>Sisesta tegevusega loodavad väljundid</t>
  </si>
  <si>
    <t>Taotluse korral on tegemist prognoosidega, järelaruandluses tuleb sisestada tegelikud aastased väärtused vastavalt aruandlusaastale.</t>
  </si>
  <si>
    <t>Tootmisjaama andmed</t>
  </si>
  <si>
    <t>MWh/a</t>
  </si>
  <si>
    <t>Tekkiv KHG heide</t>
  </si>
  <si>
    <t>Võrgust ostetud KHG heide</t>
  </si>
  <si>
    <t>Summaarselt aastas tööstusalal kasutatud elektri KHG heite vähenemine võrreldes tavaelektri tarbimisega</t>
  </si>
  <si>
    <t>Summaarselt aastas võrku müüdud elektri KHG heite vähenemine võrreldes tavaelektriga</t>
  </si>
  <si>
    <t>Taastuvenergia liik</t>
  </si>
  <si>
    <t>tuuleenergia</t>
  </si>
  <si>
    <t>päikeseenergia</t>
  </si>
  <si>
    <t>hüdroenergia</t>
  </si>
  <si>
    <t>biomassi põletus</t>
  </si>
  <si>
    <t>biogaasi põletus</t>
  </si>
  <si>
    <t>Tavaelekter võrgust</t>
  </si>
  <si>
    <t>N/A</t>
  </si>
  <si>
    <t>Taastuvelektri tootmisjaamade arv tootmisalal</t>
  </si>
  <si>
    <t>Tootmisjaama võimsus</t>
  </si>
  <si>
    <t>Kasutatav taastuvenergia liik</t>
  </si>
  <si>
    <t>Andmeallikas</t>
  </si>
  <si>
    <t>KHG lokaalne heide energia tootmisel</t>
  </si>
  <si>
    <t>Tootmisjaam 1</t>
  </si>
  <si>
    <t>Tootmisjaam 2</t>
  </si>
  <si>
    <t>Tootmisjaam 3</t>
  </si>
  <si>
    <t>Biomassi või biogaasi kasutuse korral lisa lähteaine</t>
  </si>
  <si>
    <t>Vedel läga (avatud süsteem)</t>
  </si>
  <si>
    <t>Vedel läga (suletud süsteem)</t>
  </si>
  <si>
    <t>Bio-olmejäätmed</t>
  </si>
  <si>
    <t>Jäätmepuit</t>
  </si>
  <si>
    <t>NA</t>
  </si>
  <si>
    <t>Biomassi või biogaasi lähetaine</t>
  </si>
  <si>
    <t>KHG heide lähteaine tootmisel</t>
  </si>
  <si>
    <t>Reovee sete</t>
  </si>
  <si>
    <t>https://ec.europa.eu/jrc/en/publication/eur-scientific-and-technical-research-reports/jec-well-tank-report-v5</t>
  </si>
  <si>
    <t xml:space="preserve">Tegemist on EL ametliku statistikaga eri tüüpi kütuste toomisel, käitlemisel, transpordil, säilitamisel ja tarbimisel tekkivate CO2e heitmete kohta. Üldviide: https://publications.jrc.ec.europa.eu/repository/bitstream/JRC119036/jec_wtt_v5_119036_annexes_final.pdf  </t>
  </si>
  <si>
    <t>Sealt laadida alla Exceli tabelid (excel_files.zip), millest avada fail JEC_WTTv5_ Appendix 1_Results.xlsx</t>
  </si>
  <si>
    <t>Kokku</t>
  </si>
  <si>
    <t>Soojus maagaasist</t>
  </si>
  <si>
    <t>Kui tootmisjaamas tekib ka kasutatavat soojusenergiat, siis märkida ka see.Näiteks kui tegu on koostootmisjamaga.</t>
  </si>
  <si>
    <t>Soojatootmisel välditav KHG heide</t>
  </si>
  <si>
    <t>Soojatootmise KHG heide</t>
  </si>
  <si>
    <t>Elektritootmisel välditav KHG heide (taastumatu elektri kasutusel)</t>
  </si>
  <si>
    <t>Elektriootmisel säästetud KHG heite</t>
  </si>
  <si>
    <t>Selgitus: sama koguse taastumatu elektri tootmisel tekkiv KHG heide</t>
  </si>
  <si>
    <t>Selgitus: KHG heide, mis kaasneb elektri tootmisega antud projekti raames vahetult tootmise käigus</t>
  </si>
  <si>
    <t>Selgitus: antud projekti tulemusel tekkiv KHG heite vähenemine elektri tootmisel</t>
  </si>
  <si>
    <t>Soojaootmisel tekkiv HKG heide tootmisüksuse kaupa</t>
  </si>
  <si>
    <t>Elektritootmisel tekkiv HKG heide tootmisüksuse kaupa</t>
  </si>
  <si>
    <t>Elektritootmisel tekkiv HKG heide kokku</t>
  </si>
  <si>
    <t>Soojatootmisel tekkiv HKG heide kokku</t>
  </si>
  <si>
    <t>Summaarselt aastas võrku müüdud elektri KHG heite vähenemine võrreldes tavaelektriga tootmisükuse kaupa</t>
  </si>
  <si>
    <t>arvutuskäigud</t>
  </si>
  <si>
    <t>selgitused ja lähteanmdete allikad</t>
  </si>
  <si>
    <t>-</t>
  </si>
  <si>
    <r>
      <t>t CO</t>
    </r>
    <r>
      <rPr>
        <vertAlign val="subscript"/>
        <sz val="11"/>
        <color theme="1"/>
        <rFont val="Times New Roman"/>
        <family val="1"/>
      </rPr>
      <t>2e</t>
    </r>
    <r>
      <rPr>
        <sz val="11"/>
        <color theme="1"/>
        <rFont val="Times New Roman"/>
        <family val="1"/>
      </rPr>
      <t>/a</t>
    </r>
  </si>
  <si>
    <r>
      <t>Selgitus: ((kui vaja) biogaasist kasutatava soojuse saamiseks kasutatud kütuse CO</t>
    </r>
    <r>
      <rPr>
        <i/>
        <vertAlign val="subscript"/>
        <sz val="11"/>
        <rFont val="Times New Roman"/>
        <family val="1"/>
      </rPr>
      <t>2e</t>
    </r>
    <r>
      <rPr>
        <i/>
        <sz val="11"/>
        <rFont val="Times New Roman"/>
        <family val="1"/>
      </rPr>
      <t xml:space="preserve"> heitmed (arvestatud on erihetmeid kütuseliigiti tekkvia CH</t>
    </r>
    <r>
      <rPr>
        <i/>
        <vertAlign val="subscript"/>
        <sz val="11"/>
        <rFont val="Times New Roman"/>
        <family val="1"/>
      </rPr>
      <t>4</t>
    </r>
    <r>
      <rPr>
        <i/>
        <sz val="11"/>
        <rFont val="Times New Roman"/>
        <family val="1"/>
      </rPr>
      <t xml:space="preserve"> ja N</t>
    </r>
    <r>
      <rPr>
        <i/>
        <vertAlign val="subscript"/>
        <sz val="11"/>
        <rFont val="Times New Roman"/>
        <family val="1"/>
      </rPr>
      <t>2</t>
    </r>
    <r>
      <rPr>
        <i/>
        <sz val="11"/>
        <rFont val="Times New Roman"/>
        <family val="1"/>
      </rPr>
      <t>O heite näol teisenatuna CO</t>
    </r>
    <r>
      <rPr>
        <i/>
        <vertAlign val="subscript"/>
        <sz val="11"/>
        <rFont val="Times New Roman"/>
        <family val="1"/>
      </rPr>
      <t>2</t>
    </r>
    <r>
      <rPr>
        <i/>
        <sz val="11"/>
        <rFont val="Times New Roman"/>
        <family val="1"/>
      </rPr>
      <t xml:space="preserve"> ekvivalentideks)) + ((kui vaja) elektri tootmiseks kasutatud biogaasi koguse CO</t>
    </r>
    <r>
      <rPr>
        <i/>
        <vertAlign val="subscript"/>
        <sz val="11"/>
        <rFont val="Times New Roman"/>
        <family val="1"/>
      </rPr>
      <t>2e</t>
    </r>
    <r>
      <rPr>
        <i/>
        <sz val="11"/>
        <rFont val="Times New Roman"/>
        <family val="1"/>
      </rPr>
      <t xml:space="preserve"> heitmed  (arvestatud on erihetmeid kütuseliigiti tekkvia CH4 ja N2O heite näol teisenatuna CO2 ekvivalentideks)) + ((kui vaja) elektri tootmiseks kasutatud jäätmepuidu koguse CO</t>
    </r>
    <r>
      <rPr>
        <i/>
        <vertAlign val="subscript"/>
        <sz val="11"/>
        <rFont val="Times New Roman"/>
        <family val="1"/>
      </rPr>
      <t>2e</t>
    </r>
    <r>
      <rPr>
        <i/>
        <sz val="11"/>
        <rFont val="Times New Roman"/>
        <family val="1"/>
      </rPr>
      <t xml:space="preserve"> heitmed  (arvestatud on erihetmeid kütuseliigiti tekkvia CH</t>
    </r>
    <r>
      <rPr>
        <i/>
        <vertAlign val="subscript"/>
        <sz val="11"/>
        <rFont val="Times New Roman"/>
        <family val="1"/>
      </rPr>
      <t>4</t>
    </r>
    <r>
      <rPr>
        <i/>
        <sz val="11"/>
        <rFont val="Times New Roman"/>
        <family val="1"/>
      </rPr>
      <t xml:space="preserve"> ja N</t>
    </r>
    <r>
      <rPr>
        <i/>
        <vertAlign val="subscript"/>
        <sz val="11"/>
        <rFont val="Times New Roman"/>
        <family val="1"/>
      </rPr>
      <t>2</t>
    </r>
    <r>
      <rPr>
        <i/>
        <sz val="11"/>
        <rFont val="Times New Roman"/>
        <family val="1"/>
      </rPr>
      <t>O heite näol teisenatuna CO</t>
    </r>
    <r>
      <rPr>
        <i/>
        <vertAlign val="subscript"/>
        <sz val="11"/>
        <rFont val="Times New Roman"/>
        <family val="1"/>
      </rPr>
      <t>2</t>
    </r>
    <r>
      <rPr>
        <i/>
        <sz val="11"/>
        <rFont val="Times New Roman"/>
        <family val="1"/>
      </rPr>
      <t xml:space="preserve"> ekvivalentideks)) + ((kui vaja) võrgust ostetud päritolusertifikaadile arvestatavad CO</t>
    </r>
    <r>
      <rPr>
        <i/>
        <vertAlign val="subscript"/>
        <sz val="11"/>
        <rFont val="Times New Roman"/>
        <family val="1"/>
      </rPr>
      <t>2e</t>
    </r>
    <r>
      <rPr>
        <i/>
        <sz val="11"/>
        <rFont val="Times New Roman"/>
        <family val="1"/>
      </rPr>
      <t xml:space="preserve"> heitmed 2019. aasta elektri keskmist heidet arvestatdes). Kõik summa komponendid on teisendatud ühikule t/a. Tuulest ja päikesest ning veest elektri tootmisel on CO</t>
    </r>
    <r>
      <rPr>
        <i/>
        <vertAlign val="subscript"/>
        <sz val="11"/>
        <rFont val="Times New Roman"/>
        <family val="1"/>
      </rPr>
      <t>2e</t>
    </r>
    <r>
      <rPr>
        <i/>
        <sz val="11"/>
        <rFont val="Times New Roman"/>
        <family val="1"/>
      </rPr>
      <t xml:space="preserve"> heide arvestatud nulliks. Tekkiv CO</t>
    </r>
    <r>
      <rPr>
        <i/>
        <vertAlign val="subscript"/>
        <sz val="11"/>
        <rFont val="Times New Roman"/>
        <family val="1"/>
      </rPr>
      <t>2ekv</t>
    </r>
    <r>
      <rPr>
        <i/>
        <sz val="11"/>
        <rFont val="Times New Roman"/>
        <family val="1"/>
      </rPr>
      <t xml:space="preserve"> on arvutatud sisestatud andmetest lähtuvalt EL üldtunnustatud heiteväärtustest. Päritoluseritfikaadiga elektri heide on arvestaud 2019. aasta Eesti elektri KHG heite järgi, arvestades et taastuvenergia oasakaal oli 21%. Biogaasi ja biomassi kasutusel, sooja- ja elektri tootmiseks on arvestatud vastavate metaani ning N</t>
    </r>
    <r>
      <rPr>
        <i/>
        <vertAlign val="subscript"/>
        <sz val="11"/>
        <rFont val="Times New Roman"/>
        <family val="1"/>
      </rPr>
      <t>2</t>
    </r>
    <r>
      <rPr>
        <i/>
        <sz val="11"/>
        <rFont val="Times New Roman"/>
        <family val="1"/>
      </rPr>
      <t>O heitest tuleneva eriheidetega olenevalt kasutatud lähteaine tüübist.  Kasutatud konstantide seletused on toodud käesoleval lehel.</t>
    </r>
  </si>
  <si>
    <r>
      <t>tCO</t>
    </r>
    <r>
      <rPr>
        <vertAlign val="subscript"/>
        <sz val="11"/>
        <color theme="1"/>
        <rFont val="Times New Roman"/>
        <family val="1"/>
      </rPr>
      <t>2e</t>
    </r>
    <r>
      <rPr>
        <sz val="11"/>
        <color theme="1"/>
        <rFont val="Times New Roman"/>
        <family val="1"/>
      </rPr>
      <t>/MWh</t>
    </r>
  </si>
  <si>
    <r>
      <rPr>
        <b/>
        <i/>
        <sz val="11"/>
        <color theme="1"/>
        <rFont val="Times New Roman"/>
        <family val="1"/>
      </rPr>
      <t>Andmete e-viide</t>
    </r>
    <r>
      <rPr>
        <i/>
        <sz val="11"/>
        <color theme="1"/>
        <rFont val="Times New Roman"/>
        <family val="1"/>
      </rPr>
      <t xml:space="preserve">: https://publications.jrc.ec.europa.eu/repository/bitstream/JRC119036/jec_wtt_v5_119036_annexes_final.pdf  </t>
    </r>
  </si>
  <si>
    <t>Arvutusteks kasutatud lähteanmded</t>
  </si>
  <si>
    <t>Siin kasutatud summat heidetest: Tootmine ja kohandamine allika juures +  Transformeerimine allika juures + Transportimine turule</t>
  </si>
  <si>
    <t>Projekti nimi</t>
  </si>
  <si>
    <t>Taolteja</t>
  </si>
  <si>
    <t>sisestatavad andmed kollastesse lahtritesse</t>
  </si>
  <si>
    <t>Väike päike OÜ</t>
  </si>
  <si>
    <t>Salvestusseadmete arv</t>
  </si>
  <si>
    <t>Salvestuslahenduse andmed</t>
  </si>
  <si>
    <t>Salvestusüksus 1</t>
  </si>
  <si>
    <t>Salvestusüksus 2</t>
  </si>
  <si>
    <t>Salvestusüksus 3</t>
  </si>
  <si>
    <t>Kõik tootmisjamad peavad asetsema samas kompleksis.</t>
  </si>
  <si>
    <t>Salvestusüksuse tüüp</t>
  </si>
  <si>
    <t>salvestist saadav väljundenergia on soojusenergia</t>
  </si>
  <si>
    <t>salvestist saadav väljundenergia on elektrienergia</t>
  </si>
  <si>
    <t>salvestist saadav väljundenergia on elektri ja soojusenergia</t>
  </si>
  <si>
    <t>€</t>
  </si>
  <si>
    <r>
      <t>m</t>
    </r>
    <r>
      <rPr>
        <vertAlign val="superscript"/>
        <sz val="11"/>
        <color theme="1"/>
        <rFont val="Times New Roman"/>
        <family val="1"/>
      </rPr>
      <t>3</t>
    </r>
  </si>
  <si>
    <t>MWh</t>
  </si>
  <si>
    <t>Aasatas salvestatud taastuvsoojuse hulk</t>
  </si>
  <si>
    <t>Aasatas võrku tagastatud taastuvsoojuse hulk</t>
  </si>
  <si>
    <t>Võrku otse müüdav elektri hulk</t>
  </si>
  <si>
    <t>Soojusvõrku otse müüdav soojuse hulk</t>
  </si>
  <si>
    <t>Võrku otse müüdav elektri hulk, %</t>
  </si>
  <si>
    <t>Soojusvõrku otse müüdav soojuse hulk, %</t>
  </si>
  <si>
    <t>%</t>
  </si>
  <si>
    <t>Aasatas salvestatud taastuvsoojuse hulk, %</t>
  </si>
  <si>
    <t>Arvestada energiakdusid tootmisel ja vahendamisel võrku</t>
  </si>
  <si>
    <t>Aasatas võrku tagastatud taastuvsoojuse hulk, %</t>
  </si>
  <si>
    <t>Aastas toodetud taastuvelektri koguhulk</t>
  </si>
  <si>
    <t>Aastas toodetud taastuvsoojuse koguhulk</t>
  </si>
  <si>
    <t>Võrgust salvestuseks ostetud taastuvelektri hulk</t>
  </si>
  <si>
    <t>Aasatas võrku tagastatud elektri hulk salvestaud elektri hulgast, %</t>
  </si>
  <si>
    <t>Ühik</t>
  </si>
  <si>
    <t>Aasatas salvestatud kohapeal toodetud taastuvelektri hulk, %</t>
  </si>
  <si>
    <t>Aasatas salvestatud kohapeal toodetud taastuvelektri hulk</t>
  </si>
  <si>
    <t>Aasatas võrku tagastatud kohapeal toodetud taastuvelektri hulk</t>
  </si>
  <si>
    <t>Aasatas võrku tagastatud kogutaastuvelektri hulk</t>
  </si>
  <si>
    <t>Aasatas salvestatud võrgust ostetud taastuvelektri hulk</t>
  </si>
  <si>
    <t>Hinnatav kriteerium</t>
  </si>
  <si>
    <t>Marginaalkulu salvestusühiku kohta</t>
  </si>
  <si>
    <t>€/MW</t>
  </si>
  <si>
    <t>Salvestusüksuse väljundenergia tüüp</t>
  </si>
  <si>
    <t>Soojus</t>
  </si>
  <si>
    <t>Elekter</t>
  </si>
  <si>
    <t>Elekter ja soojus</t>
  </si>
  <si>
    <t>Summarne tagastatud energiahulk, %</t>
  </si>
  <si>
    <t>Energiakao määr salvestusel</t>
  </si>
  <si>
    <t>%/päev</t>
  </si>
  <si>
    <t>päev(a)</t>
  </si>
  <si>
    <t>Koostootmine</t>
  </si>
  <si>
    <t>Bioenergia OÜ</t>
  </si>
  <si>
    <t>Salvesti tüüp valida salvesti väljundina tekkiva energia liigi (elekter / soojus / elekter ja soojus) järgi</t>
  </si>
  <si>
    <t>Näitaja</t>
  </si>
  <si>
    <t>Soojussalvestusüksuse ruumiline mahutavus</t>
  </si>
  <si>
    <t>Palun märkida soojussalvestite korral ka salvestusüksuse ruumiline mahutavus, elektrisalvestite korral märkida "0.0"</t>
  </si>
  <si>
    <t>Aasatas võrku tagastatud võrgust ostetud taastuvelektri hulk</t>
  </si>
  <si>
    <t>Elektri salvestamisel tekkiv HKG heide tootmisüksuse kaupa</t>
  </si>
  <si>
    <t>Soojatootmisel säästetud KHG heide</t>
  </si>
  <si>
    <t>Elektriootmisel säästetud KHG heide</t>
  </si>
  <si>
    <t>Võrgust ostetud taastuvelektri KHG heide</t>
  </si>
  <si>
    <t>Aasatas võrku tagastatud elektri hulk salvestatud elektri hulgast, %</t>
  </si>
  <si>
    <t>Salvestuse keskmine efektiivsus, %. Nt sisendenergia 100 MWh salvestuses ja väljundenergia 90 MWh on see 90%. Arvestada energiakadusid  salvestamise protsessis ja salvestatud energia kadu alvestusseadmes aja jooksul vastavalt tootjaspetifikatsioonis toodud andmetele ning energiakadusid vahendamisel võrku. Arutuskäigud antud väärtuste saamiseks peavad olema toodud taotluse lähteandmetes koos viidetega toojaspetsifikatsioonidele. Vastavad tõenduspõhised tootjaspetsifikatisooni andmed tuleb esitada ka taotluse dokumentides.</t>
  </si>
  <si>
    <r>
      <t>t CO</t>
    </r>
    <r>
      <rPr>
        <vertAlign val="subscript"/>
        <sz val="11"/>
        <color theme="1" tint="0.34998626667073579"/>
        <rFont val="Times New Roman"/>
        <family val="1"/>
      </rPr>
      <t>2e</t>
    </r>
    <r>
      <rPr>
        <sz val="11"/>
        <color theme="1" tint="0.34998626667073579"/>
        <rFont val="Times New Roman"/>
        <family val="1"/>
      </rPr>
      <t>/a</t>
    </r>
  </si>
  <si>
    <t>Välditav KHG heide salvestusel</t>
  </si>
  <si>
    <t>Tekkiv KHG summaarne heide kogu tootmise kohta koos salvestusega</t>
  </si>
  <si>
    <t>Vädlitav KHG summaarne heide kogu tootmise kohta koos salvestusega</t>
  </si>
  <si>
    <t>(7) Toetuse abil ellu viidud projekt peab panustama meetme eesmärki, tulemusnäitajatesse ja seekaudu ka projekti väljundnäitajatesse, milleks on:
1) energiasalvestusseadme kasutusega fossiilse kütuse kasutuse vähenemisest tingitud kasvuhoonegaaside õhuheite vähenemine süsinikdioksiidi (edaspidi CO2) ekvivalendi tonnides aastas; olemas
2) energiasalvestusseadme kasutamisega fossiilse kütuse kasutuse vähenemisest tingitud taastuvenergia täiendav kasutuselevõtt megavatt-tundides aastas. olemas
(8) Toetuse abil ellu viidud projekti tulemusnäitajad on järgmised:
1) rajatavas energiasalvestusseadmes salvestatav taastuvenergia hulk megavatt-tundides aastas;  olemas
2) rajatavast energiasalvestusseadmest kasutatav taastuvenergia hulk megavatt-tundides aastas. olemas</t>
  </si>
  <si>
    <t>Aasatas kokku salvestatud taastuvelektri hulk</t>
  </si>
  <si>
    <t>Siin lehel on arvutused tehtud eeldusel, et elektri korral saadakse salvestuse väljundina vaid elektrit ja soojuse korral soojust, kui salvestulahenduses salvestatakse elektrit, aga väljundina tekib nii elekter kui soojus, teha arvutused lehel Elekter &gt; E&amp;S</t>
  </si>
  <si>
    <t>National Inventory Submissions 2022 | UNFCCC</t>
  </si>
  <si>
    <t>lk 81</t>
  </si>
  <si>
    <t>lk 82</t>
  </si>
  <si>
    <r>
      <rPr>
        <b/>
        <i/>
        <sz val="11"/>
        <color theme="1"/>
        <rFont val="Calibri"/>
        <family val="2"/>
        <scheme val="minor"/>
      </rPr>
      <t>0.0358</t>
    </r>
    <r>
      <rPr>
        <i/>
        <sz val="11"/>
        <color theme="1"/>
        <rFont val="Calibri"/>
        <family val="2"/>
        <scheme val="minor"/>
      </rPr>
      <t xml:space="preserve"> tCO</t>
    </r>
    <r>
      <rPr>
        <i/>
        <vertAlign val="subscript"/>
        <sz val="11"/>
        <color theme="1"/>
        <rFont val="Calibri"/>
        <family val="2"/>
        <scheme val="minor"/>
      </rPr>
      <t>2ekv</t>
    </r>
    <r>
      <rPr>
        <i/>
        <sz val="11"/>
        <color theme="1"/>
        <rFont val="Calibri"/>
        <family val="2"/>
        <scheme val="minor"/>
      </rPr>
      <t>/TJ - biogaasi eriheide, mille arvutamisel on arvestatud CH</t>
    </r>
    <r>
      <rPr>
        <i/>
        <vertAlign val="subscript"/>
        <sz val="11"/>
        <color theme="1"/>
        <rFont val="Calibri"/>
        <family val="2"/>
        <scheme val="minor"/>
      </rPr>
      <t>4</t>
    </r>
    <r>
      <rPr>
        <i/>
        <sz val="11"/>
        <color theme="1"/>
        <rFont val="Calibri"/>
        <family val="2"/>
        <scheme val="minor"/>
      </rPr>
      <t xml:space="preserve"> heiteks 0.0025 kg CH4/TJ  *  GWP(CH</t>
    </r>
    <r>
      <rPr>
        <i/>
        <vertAlign val="subscript"/>
        <sz val="11"/>
        <color theme="1"/>
        <rFont val="Calibri"/>
        <family val="2"/>
        <scheme val="minor"/>
      </rPr>
      <t>4</t>
    </r>
    <r>
      <rPr>
        <i/>
        <sz val="11"/>
        <color theme="1"/>
        <rFont val="Calibri"/>
        <family val="2"/>
        <scheme val="minor"/>
      </rPr>
      <t>)  25 t CO</t>
    </r>
    <r>
      <rPr>
        <i/>
        <vertAlign val="subscript"/>
        <sz val="11"/>
        <color theme="1"/>
        <rFont val="Calibri"/>
        <family val="2"/>
        <scheme val="minor"/>
      </rPr>
      <t>2</t>
    </r>
    <r>
      <rPr>
        <i/>
        <sz val="11"/>
        <color theme="1"/>
        <rFont val="Calibri"/>
        <family val="2"/>
        <scheme val="minor"/>
      </rPr>
      <t>/tCH</t>
    </r>
    <r>
      <rPr>
        <i/>
        <vertAlign val="subscript"/>
        <sz val="11"/>
        <color theme="1"/>
        <rFont val="Calibri"/>
        <family val="2"/>
        <scheme val="minor"/>
      </rPr>
      <t>4</t>
    </r>
    <r>
      <rPr>
        <i/>
        <sz val="11"/>
        <color theme="1"/>
        <rFont val="Calibri"/>
        <family val="2"/>
        <scheme val="minor"/>
      </rPr>
      <t xml:space="preserve"> ja N</t>
    </r>
    <r>
      <rPr>
        <i/>
        <vertAlign val="subscript"/>
        <sz val="11"/>
        <color theme="1"/>
        <rFont val="Calibri"/>
        <family val="2"/>
        <scheme val="minor"/>
      </rPr>
      <t>2</t>
    </r>
    <r>
      <rPr>
        <i/>
        <sz val="11"/>
        <color theme="1"/>
        <rFont val="Calibri"/>
        <family val="2"/>
        <scheme val="minor"/>
      </rPr>
      <t>O eriheide 0.12 kg/TJ * GWP(N</t>
    </r>
    <r>
      <rPr>
        <i/>
        <vertAlign val="subscript"/>
        <sz val="11"/>
        <color theme="1"/>
        <rFont val="Calibri"/>
        <family val="2"/>
        <scheme val="minor"/>
      </rPr>
      <t>2</t>
    </r>
    <r>
      <rPr>
        <i/>
        <sz val="11"/>
        <color theme="1"/>
        <rFont val="Calibri"/>
        <family val="2"/>
        <scheme val="minor"/>
      </rPr>
      <t xml:space="preserve">O) 298 tCO2/tN2O. GWP - greenhouse warming potential - on antud kasvuhoonegaasi mõjukordaja atmsofääris võrreldes CO2-ga 100 aasta jooksul. Andmete allikas: Estonia. 2022 National Inventory Report (NIR) | UNFCCC fail NIR_EST_1990-2020_15.04.2022.pdf, lk 81 tabelist 3.10 </t>
    </r>
    <r>
      <rPr>
        <b/>
        <i/>
        <sz val="11"/>
        <color theme="1"/>
        <rFont val="Calibri"/>
        <family val="2"/>
        <scheme val="minor"/>
      </rPr>
      <t>Biogas</t>
    </r>
    <r>
      <rPr>
        <i/>
        <sz val="11"/>
        <color theme="1"/>
        <rFont val="Calibri"/>
        <family val="2"/>
        <scheme val="minor"/>
      </rPr>
      <t>.</t>
    </r>
  </si>
  <si>
    <r>
      <rPr>
        <b/>
        <i/>
        <sz val="11"/>
        <color theme="1"/>
        <rFont val="Calibri"/>
        <family val="2"/>
        <scheme val="minor"/>
      </rPr>
      <t>0.0358</t>
    </r>
    <r>
      <rPr>
        <i/>
        <sz val="11"/>
        <color theme="1"/>
        <rFont val="Calibri"/>
        <family val="2"/>
        <scheme val="minor"/>
      </rPr>
      <t xml:space="preserve"> tCO</t>
    </r>
    <r>
      <rPr>
        <i/>
        <vertAlign val="subscript"/>
        <sz val="11"/>
        <color theme="1"/>
        <rFont val="Calibri"/>
        <family val="2"/>
        <scheme val="minor"/>
      </rPr>
      <t>2ekv</t>
    </r>
    <r>
      <rPr>
        <i/>
        <sz val="11"/>
        <color theme="1"/>
        <rFont val="Calibri"/>
        <family val="2"/>
        <scheme val="minor"/>
      </rPr>
      <t>/TJ - biogaasi eriheide, mille arvutamisel on arvestatud CH</t>
    </r>
    <r>
      <rPr>
        <i/>
        <vertAlign val="subscript"/>
        <sz val="11"/>
        <color theme="1"/>
        <rFont val="Calibri"/>
        <family val="2"/>
        <scheme val="minor"/>
      </rPr>
      <t>4</t>
    </r>
    <r>
      <rPr>
        <i/>
        <sz val="11"/>
        <color theme="1"/>
        <rFont val="Calibri"/>
        <family val="2"/>
        <scheme val="minor"/>
      </rPr>
      <t xml:space="preserve"> heiteks 0.29 kg CH4/TJ  *  GWP(CH</t>
    </r>
    <r>
      <rPr>
        <i/>
        <vertAlign val="subscript"/>
        <sz val="11"/>
        <color theme="1"/>
        <rFont val="Calibri"/>
        <family val="2"/>
        <scheme val="minor"/>
      </rPr>
      <t>4</t>
    </r>
    <r>
      <rPr>
        <i/>
        <sz val="11"/>
        <color theme="1"/>
        <rFont val="Calibri"/>
        <family val="2"/>
        <scheme val="minor"/>
      </rPr>
      <t>)  25 t CO</t>
    </r>
    <r>
      <rPr>
        <i/>
        <vertAlign val="subscript"/>
        <sz val="11"/>
        <color theme="1"/>
        <rFont val="Calibri"/>
        <family val="2"/>
        <scheme val="minor"/>
      </rPr>
      <t>2</t>
    </r>
    <r>
      <rPr>
        <i/>
        <sz val="11"/>
        <color theme="1"/>
        <rFont val="Calibri"/>
        <family val="2"/>
        <scheme val="minor"/>
      </rPr>
      <t>/tCH</t>
    </r>
    <r>
      <rPr>
        <i/>
        <vertAlign val="subscript"/>
        <sz val="11"/>
        <color theme="1"/>
        <rFont val="Calibri"/>
        <family val="2"/>
        <scheme val="minor"/>
      </rPr>
      <t>4</t>
    </r>
    <r>
      <rPr>
        <i/>
        <sz val="11"/>
        <color theme="1"/>
        <rFont val="Calibri"/>
        <family val="2"/>
        <scheme val="minor"/>
      </rPr>
      <t xml:space="preserve"> ja N</t>
    </r>
    <r>
      <rPr>
        <i/>
        <vertAlign val="subscript"/>
        <sz val="11"/>
        <color theme="1"/>
        <rFont val="Calibri"/>
        <family val="2"/>
        <scheme val="minor"/>
      </rPr>
      <t>2</t>
    </r>
    <r>
      <rPr>
        <i/>
        <sz val="11"/>
        <color theme="1"/>
        <rFont val="Calibri"/>
        <family val="2"/>
        <scheme val="minor"/>
      </rPr>
      <t>O eriheide 0.21 kg/TJ * GWP(N</t>
    </r>
    <r>
      <rPr>
        <i/>
        <vertAlign val="subscript"/>
        <sz val="11"/>
        <color theme="1"/>
        <rFont val="Calibri"/>
        <family val="2"/>
        <scheme val="minor"/>
      </rPr>
      <t>2</t>
    </r>
    <r>
      <rPr>
        <i/>
        <sz val="11"/>
        <color theme="1"/>
        <rFont val="Calibri"/>
        <family val="2"/>
        <scheme val="minor"/>
      </rPr>
      <t xml:space="preserve">O) 298 tCO2/tN2O. GWP - greenhouse warming potential - on antud kasvuhoonegaasi mõjukordaja atmsofääris võrreldes CO2-ga 100 aasta jooksul. Andmete allikas: Estonia. 2022 National Inventory Report (NIR) | UNFCCC fail NIR_EST_1990-2020_15.04.2022.pdf, lk 82 tabelist 3.10 </t>
    </r>
    <r>
      <rPr>
        <b/>
        <i/>
        <sz val="11"/>
        <color theme="1"/>
        <rFont val="Calibri"/>
        <family val="2"/>
        <scheme val="minor"/>
      </rPr>
      <t>Biogas</t>
    </r>
    <r>
      <rPr>
        <i/>
        <sz val="11"/>
        <color theme="1"/>
        <rFont val="Calibri"/>
        <family val="2"/>
        <scheme val="minor"/>
      </rPr>
      <t>.</t>
    </r>
  </si>
  <si>
    <t>ETEK_aastaraamat_2020_veebi (taastuvenergeetika.ee)</t>
  </si>
  <si>
    <t>lk 15</t>
  </si>
  <si>
    <t>2020. aasta taastuvelektri osakaal 25%: KHG heide on arvutatud arvestades taastuvelektri kahe aasta tagust osakaalu võrgus müüdavast elektrist aasta keskmise väärtusena</t>
  </si>
  <si>
    <t>2020. aasta elektektri KHG heide ilma taastuvelektrita</t>
  </si>
  <si>
    <t>lk 80-81</t>
  </si>
  <si>
    <r>
      <rPr>
        <b/>
        <i/>
        <sz val="11"/>
        <color theme="1"/>
        <rFont val="Times New Roman"/>
        <family val="1"/>
      </rPr>
      <t>55,29</t>
    </r>
    <r>
      <rPr>
        <i/>
        <sz val="11"/>
        <color theme="1"/>
        <rFont val="Times New Roman"/>
        <family val="1"/>
      </rPr>
      <t xml:space="preserve"> tCO2ekv/TJ - maagaasi eriheide, mille arvutamisel on arvestatud CO2 heiteks 55,26 t/TJ, CH4 heiteks 0,003 kg CH4/TJ  *  GWP(CH4)  25 t CO2/tCH4 ja N2O eriheide 0.12 kg/TJ * GWP(N2O) 298 tCO2/tN2O. GWP - greenhouse warming potential - on antud kasvuhoonegaasi mõjukordaja atmsofääris võrreldes CO2-ga 100 aasta jooksul. Andmete allikas: Estonia. 2020 National Inventory Report (NIR) | UNFCCC fail NIR_EST_1990-2020_15.04.2022.pdf, tabelid : lk. 79-80 “Table 3.9. Carbon emission factors, oxidation factors, and net calorific values for 2020” ja lk. 81-82 “Table 3.10. CH4 and N2O emission factors by fuel, kg/TJ”.</t>
    </r>
  </si>
  <si>
    <r>
      <rPr>
        <b/>
        <i/>
        <sz val="11"/>
        <color theme="1"/>
        <rFont val="Calibri"/>
        <family val="2"/>
        <scheme val="minor"/>
      </rPr>
      <t>0.0698</t>
    </r>
    <r>
      <rPr>
        <i/>
        <sz val="11"/>
        <color theme="1"/>
        <rFont val="Calibri"/>
        <family val="2"/>
        <scheme val="minor"/>
      </rPr>
      <t xml:space="preserve"> tCO</t>
    </r>
    <r>
      <rPr>
        <i/>
        <vertAlign val="subscript"/>
        <sz val="11"/>
        <color theme="1"/>
        <rFont val="Calibri"/>
        <family val="2"/>
        <scheme val="minor"/>
      </rPr>
      <t>2ekv</t>
    </r>
    <r>
      <rPr>
        <i/>
        <sz val="11"/>
        <color theme="1"/>
        <rFont val="Calibri"/>
        <family val="2"/>
        <scheme val="minor"/>
      </rPr>
      <t>/TJ - biogaasi eriheide, mille arvutamisel on arvestatud CH</t>
    </r>
    <r>
      <rPr>
        <i/>
        <vertAlign val="subscript"/>
        <sz val="11"/>
        <color theme="1"/>
        <rFont val="Calibri"/>
        <family val="2"/>
        <scheme val="minor"/>
      </rPr>
      <t>4</t>
    </r>
    <r>
      <rPr>
        <i/>
        <sz val="11"/>
        <color theme="1"/>
        <rFont val="Calibri"/>
        <family val="2"/>
        <scheme val="minor"/>
      </rPr>
      <t xml:space="preserve"> heiteks 0.29 kg CH4/TJ  *  GWP(CH</t>
    </r>
    <r>
      <rPr>
        <i/>
        <vertAlign val="subscript"/>
        <sz val="11"/>
        <color theme="1"/>
        <rFont val="Calibri"/>
        <family val="2"/>
        <scheme val="minor"/>
      </rPr>
      <t>4</t>
    </r>
    <r>
      <rPr>
        <i/>
        <sz val="11"/>
        <color theme="1"/>
        <rFont val="Calibri"/>
        <family val="2"/>
        <scheme val="minor"/>
      </rPr>
      <t>)  25 t CO</t>
    </r>
    <r>
      <rPr>
        <i/>
        <vertAlign val="subscript"/>
        <sz val="11"/>
        <color theme="1"/>
        <rFont val="Calibri"/>
        <family val="2"/>
        <scheme val="minor"/>
      </rPr>
      <t>2</t>
    </r>
    <r>
      <rPr>
        <i/>
        <sz val="11"/>
        <color theme="1"/>
        <rFont val="Calibri"/>
        <family val="2"/>
        <scheme val="minor"/>
      </rPr>
      <t>/tCH</t>
    </r>
    <r>
      <rPr>
        <i/>
        <vertAlign val="subscript"/>
        <sz val="11"/>
        <color theme="1"/>
        <rFont val="Calibri"/>
        <family val="2"/>
        <scheme val="minor"/>
      </rPr>
      <t>4</t>
    </r>
    <r>
      <rPr>
        <i/>
        <sz val="11"/>
        <color theme="1"/>
        <rFont val="Calibri"/>
        <family val="2"/>
        <scheme val="minor"/>
      </rPr>
      <t xml:space="preserve"> ja N</t>
    </r>
    <r>
      <rPr>
        <i/>
        <vertAlign val="subscript"/>
        <sz val="11"/>
        <color theme="1"/>
        <rFont val="Calibri"/>
        <family val="2"/>
        <scheme val="minor"/>
      </rPr>
      <t>2</t>
    </r>
    <r>
      <rPr>
        <i/>
        <sz val="11"/>
        <color theme="1"/>
        <rFont val="Calibri"/>
        <family val="2"/>
        <scheme val="minor"/>
      </rPr>
      <t>O eriheide 0.21 kg/TJ * GWP(N</t>
    </r>
    <r>
      <rPr>
        <i/>
        <vertAlign val="subscript"/>
        <sz val="11"/>
        <color theme="1"/>
        <rFont val="Calibri"/>
        <family val="2"/>
        <scheme val="minor"/>
      </rPr>
      <t>2</t>
    </r>
    <r>
      <rPr>
        <i/>
        <sz val="11"/>
        <color theme="1"/>
        <rFont val="Calibri"/>
        <family val="2"/>
        <scheme val="minor"/>
      </rPr>
      <t xml:space="preserve">O) 298 tCO2/tN2O. GWP - greenhouse warming potential - on antud kasvuhoonegaasi mõjukordaja atmsofääris võrreldes CO2-ga 100 aasta jooksul. Andmete allikas: Estonia. 2022 National Inventory Report (NIR) | UNFCCC fail NIR_EST_1990-2020_15.04.2022.pdf, lk 82 tabelist 3.10 </t>
    </r>
    <r>
      <rPr>
        <b/>
        <i/>
        <sz val="11"/>
        <color theme="1"/>
        <rFont val="Calibri"/>
        <family val="2"/>
        <scheme val="minor"/>
      </rPr>
      <t>Biogas</t>
    </r>
    <r>
      <rPr>
        <i/>
        <sz val="11"/>
        <color theme="1"/>
        <rFont val="Calibri"/>
        <family val="2"/>
        <scheme val="minor"/>
      </rPr>
      <t>.</t>
    </r>
  </si>
  <si>
    <t>KHG heite vältimine salvestatava energiaühiku kohta</t>
  </si>
  <si>
    <r>
      <t>t CO</t>
    </r>
    <r>
      <rPr>
        <vertAlign val="subscript"/>
        <sz val="11"/>
        <color theme="1"/>
        <rFont val="Times New Roman"/>
        <family val="1"/>
      </rPr>
      <t>2e</t>
    </r>
    <r>
      <rPr>
        <sz val="11"/>
        <color theme="1"/>
        <rFont val="Times New Roman"/>
        <family val="1"/>
      </rPr>
      <t>/MWh</t>
    </r>
  </si>
  <si>
    <t xml:space="preserve">Jääksoojus, eksotermiline </t>
  </si>
  <si>
    <t>Salvestus päikesepargis</t>
  </si>
  <si>
    <t>Taastuvelekter võrgust</t>
  </si>
  <si>
    <t>Siin lehel on arvutused tehtud eeldusel, et elektri tootmise korral salvestatakse vaid elektrit, aga väljundina tekib elekter ja vajadusel ka soojus (näiteks tahkeoksiidküuseelement või PEM). Kui tootmise käigus tekib nii soojust kui elektrit (nt koostootmisjaam),  teha arvutused lehel Elekter ja Soojus</t>
  </si>
  <si>
    <t>Hinnatav kriteerium (Elekter)</t>
  </si>
  <si>
    <t>tsüklit</t>
  </si>
  <si>
    <t>aastat</t>
  </si>
  <si>
    <t>(Elekter)</t>
  </si>
  <si>
    <t>Salvestusseadme eluiga vastavalt tootja spetsifikatsioonile</t>
  </si>
  <si>
    <t>Kõik toodud andmed (mahtuvused, energiakadu, laadimistüklite arv, eluiga jne) peavad olema esitatud vastavalt tootja spetifikatsioonile ja koos taotlusega on vaja esitada ka tõendav dokumentatsioon vastvate andmete kinnitamiseks.</t>
  </si>
  <si>
    <t>Soojussalvestusseadme energiakadu megavatt-tundides ühe ruutmeetri energiasalvestusseadme välispindala kohta</t>
  </si>
  <si>
    <r>
      <t>MWh/(m</t>
    </r>
    <r>
      <rPr>
        <vertAlign val="superscript"/>
        <sz val="11"/>
        <color theme="1"/>
        <rFont val="Times New Roman"/>
        <family val="1"/>
      </rPr>
      <t>2</t>
    </r>
    <r>
      <rPr>
        <sz val="11"/>
        <color theme="1"/>
        <rFont val="Times New Roman"/>
        <family val="1"/>
      </rPr>
      <t>*h)</t>
    </r>
  </si>
  <si>
    <t>Hinnatav kriteerium (Soojus)</t>
  </si>
  <si>
    <t>Salvestusseadmete ostu ja paigalduse maksumus (toetatavad kulud)</t>
  </si>
  <si>
    <r>
      <t>(7) Toetuse abil ellu viidud projekt peab panustama meetme eesmärki, tulemusnäitajatesse ja seekaudu ka projekti väljundnäitajatesse, milleks on:
1) energiasalvestusseadme kasutusega fossiilse kütuse kasutuse vähenemisest tingitud kasvuhoonegaaside õhuheite vähenemine süsinikdioksiidi (edaspidi CO</t>
    </r>
    <r>
      <rPr>
        <vertAlign val="subscript"/>
        <sz val="11"/>
        <color theme="1"/>
        <rFont val="Times New Roman"/>
        <family val="1"/>
      </rPr>
      <t>2</t>
    </r>
    <r>
      <rPr>
        <sz val="11"/>
        <color theme="1"/>
        <rFont val="Times New Roman"/>
        <family val="1"/>
      </rPr>
      <t xml:space="preserve">) ekvivalendi tonnides aastas;
2) energiasalvestusseadme kasutamisega fossiilse kütuse kasutuse vähenemisest tingitud taastuvenergia täiendav kasutuselevõtt megavatt-tundides aastas.
(8) Toetuse abil ellu viidud projekti tulemusnäitajad on järgmised:
1) rajatavas energiasalvestusseadmes salvestatav taastuvenergia hulk megavatt-tundides aastas;  
2) rajatavast energiasalvestusseadmest kasutatav taastuvenergia hulk megavatt-tundides aastas. </t>
    </r>
  </si>
  <si>
    <t>Elektri salvestamisel tekkiv HKG heide kokku</t>
  </si>
  <si>
    <t>Elektri salvestamisel välditav KHG heide (taastumatu elektri kasutusel)</t>
  </si>
  <si>
    <t>Elektri salvestamisel säästetud KHG heide</t>
  </si>
  <si>
    <t>Elektri salvestamisel säästetud KHG heide salvestusest kasutatud energiaühiku kohta</t>
  </si>
  <si>
    <t>Soojussalvestusel tekkiv HKG heide tootmisüksuse kaupa</t>
  </si>
  <si>
    <t>Soojussalvestusel tekkiv HKG heide kokku</t>
  </si>
  <si>
    <t>Soojussalvestusel välditav KHG heide</t>
  </si>
  <si>
    <t>Soojussalvestusel säästetud KHG heide</t>
  </si>
  <si>
    <t>Soojussalvestusel säästetud KHG heide salvestusest kasutatud energiaühiku kohta</t>
  </si>
  <si>
    <t>Antud meetme raames ei ole lubatud kasutada võrgust ostetud elektrit salvestusseadmes kasutuseks! Siia märkida 0,0!</t>
  </si>
  <si>
    <t>Kui tegu on jääksoojuse kasutusega, siis märkida siia jääkosoojuse vabanemise protsessis kasutatav esmane energiaallikas. Nt jahutusseamete korral on vaja märkida jahutusseadmete käitamiseks kasutatav energiaalikas, võrgust ostetud energia korral märkida NA (ning tõendada energia taastuv päritolu). Eksotermiliste reaktsioonide soojuse ärakasutuse korral märkida "jääksoojus, eksotermiline" (nt biomassist vabaneva soojuse kasutus biometaani tootmisel).</t>
  </si>
  <si>
    <t>Salvestuse keskmine efektiivsus, %. Nt sisendenergia 100 MWh salvestuses ja väljundenergia 90 MWh on see 90%. Arvestada energiakadusid  salvestamise protsessis ja salvestatud energia kadu salvestusseadmes aja jooksul vastavalt tootjaspetifikatsioonis toodud andmetele ning energiakadusid vahendamisel võrku. Arvutuskäigud antud väärtuste saamiseks peavad olema toodud taotluse lähteandmetes koos viidetega toojaspetsifikatsioonidele. Vastavad tõenduspõhised tootjaspetsifikatisooni andmed tuleb esitada ka taotluse dokumentides.</t>
  </si>
  <si>
    <t>Laadimistsüklite arv eluea jooksul vastavalt tootja spetsifikatsioonile</t>
  </si>
  <si>
    <t>Antud meetme raames ei ole lubatud kasutada võrgust ostetud elektrit salvestusseadmes kasutuseks! Sinne väärtus 0,0!</t>
  </si>
  <si>
    <t>Energiakao määr ehk energiasalvestuseaeg päevades, mille jooksul energiakadu maksimaalmahtuvusele laetud rajatavas energiasalvestusseadmes on alla 1%</t>
  </si>
  <si>
    <t>Salvestusseadme nominaalne koguvõimsus</t>
  </si>
  <si>
    <t>Salvestusseadme reaalne koguvõimsus</t>
  </si>
  <si>
    <t>Summarne sisendvõimsus (nominaalvõimsus)</t>
  </si>
  <si>
    <t>Summarne väljundvõimsus (reaalvõimsus)</t>
  </si>
  <si>
    <t>Salvestusüksuse maksimaalne sisendvõimsus</t>
  </si>
  <si>
    <t>Salvestusüksuse maksimaalne väljundvõimsus</t>
  </si>
  <si>
    <t>Seadme aastane maksimaalne väljundmahtuvus eeldusel, et salvestus ja -kasutusaeg on võrdselt 50%</t>
  </si>
  <si>
    <t>Märkida salvestusseadme reaalne maksimaalne kasutatav sisendvõimsus (nominaalvõimsus) vastavalt tootja poolt tehnilsites andmetes esitatud tingimustele ja lisada taotlusele ka vastavad tõendatavalt tootja poolt eistatud andmed. Sisendvõimsus on eletri või soojuse hulk, mida antud salvestuüksuse kasutusel saab elektri- või soojusvõrgust sisestada.</t>
  </si>
  <si>
    <t>Märkida salvestusseadme reaalne maksimaalne kasutatav väljundvõimsus (reaalvõimsus) vastavalt tootja poolt tehnilsites andmetes esitatud tingimustele ja lisada taotlusele ka vastavad tõendatavalt tootja poolt eistatud andmed. Väljundvõimsus on eletri või soojuse hulk, mida antud salvestuüksuse kasutusel saab elektri- või soojusvõrku tagastada.</t>
  </si>
  <si>
    <t>Salvestusüksused on vaja eraldi välja tuua, kui nedes kasutatav elekter on eri päritolu või kui salvestid töötavad eri reziimil. Üldujuhul peaks piisama ühest salvestusüksusest.</t>
  </si>
  <si>
    <t>Energiasalvestuse seadmete pilootprojektide arendamine</t>
  </si>
  <si>
    <t>Energiasalvestuse seadmete pilootprojektide arendamine: üldandmed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</si>
</sst>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00"/>
    <numFmt numFmtId="166" formatCode="0.0"/>
  </numFmts>
  <fonts count="30" x14ac:knownFonts="1">
    <font>
      <sz val="11"/>
      <color theme="1"/>
      <name val="Calibri"/>
      <family val="2"/>
      <charset val="186"/>
      <scheme val="minor"/>
    </font>
    <font>
      <u/>
      <sz val="11"/>
      <color theme="10"/>
      <name val="Calibri"/>
      <family val="2"/>
      <charset val="186"/>
      <scheme val="minor"/>
    </font>
    <font>
      <sz val="8"/>
      <name val="Calibri"/>
      <family val="2"/>
      <charset val="186"/>
      <scheme val="minor"/>
    </font>
    <font>
      <b/>
      <u/>
      <sz val="11"/>
      <color theme="1"/>
      <name val="Times New Roman"/>
      <family val="1"/>
    </font>
    <font>
      <sz val="11"/>
      <color theme="1"/>
      <name val="Times New Roman"/>
      <family val="1"/>
    </font>
    <font>
      <i/>
      <sz val="11"/>
      <color theme="1"/>
      <name val="Times New Roman"/>
      <family val="1"/>
    </font>
    <font>
      <sz val="11"/>
      <name val="Times New Roman"/>
      <family val="1"/>
    </font>
    <font>
      <vertAlign val="subscript"/>
      <sz val="11"/>
      <color theme="1"/>
      <name val="Times New Roman"/>
      <family val="1"/>
    </font>
    <font>
      <i/>
      <sz val="11"/>
      <name val="Times New Roman"/>
      <family val="1"/>
    </font>
    <font>
      <i/>
      <vertAlign val="subscript"/>
      <sz val="11"/>
      <name val="Times New Roman"/>
      <family val="1"/>
    </font>
    <font>
      <b/>
      <sz val="11"/>
      <color theme="1"/>
      <name val="Times New Roman"/>
      <family val="1"/>
    </font>
    <font>
      <i/>
      <u/>
      <sz val="11"/>
      <color theme="10"/>
      <name val="Times New Roman"/>
      <family val="1"/>
    </font>
    <font>
      <b/>
      <i/>
      <sz val="11"/>
      <color theme="1"/>
      <name val="Times New Roman"/>
      <family val="1"/>
    </font>
    <font>
      <b/>
      <sz val="11"/>
      <color theme="0"/>
      <name val="Times New Roman"/>
      <family val="1"/>
    </font>
    <font>
      <vertAlign val="superscript"/>
      <sz val="11"/>
      <color theme="1"/>
      <name val="Times New Roman"/>
      <family val="1"/>
    </font>
    <font>
      <sz val="11"/>
      <color rgb="FFC00000"/>
      <name val="Times New Roman"/>
      <family val="1"/>
    </font>
    <font>
      <b/>
      <i/>
      <u/>
      <sz val="11"/>
      <color theme="1"/>
      <name val="Times New Roman"/>
      <family val="1"/>
    </font>
    <font>
      <b/>
      <u/>
      <sz val="11"/>
      <color theme="1" tint="0.34998626667073579"/>
      <name val="Times New Roman"/>
      <family val="1"/>
    </font>
    <font>
      <sz val="11"/>
      <color theme="1" tint="0.34998626667073579"/>
      <name val="Times New Roman"/>
      <family val="1"/>
    </font>
    <font>
      <vertAlign val="subscript"/>
      <sz val="11"/>
      <color theme="1" tint="0.34998626667073579"/>
      <name val="Times New Roman"/>
      <family val="1"/>
    </font>
    <font>
      <b/>
      <sz val="11"/>
      <color theme="1" tint="0.34998626667073579"/>
      <name val="Times New Roman"/>
      <family val="1"/>
    </font>
    <font>
      <b/>
      <sz val="11"/>
      <name val="Times New Roman"/>
      <family val="1"/>
    </font>
    <font>
      <i/>
      <sz val="11"/>
      <color rgb="FFC00000"/>
      <name val="Times New Roman"/>
      <family val="1"/>
    </font>
    <font>
      <sz val="11"/>
      <color rgb="FF000000"/>
      <name val="Calibri"/>
      <family val="2"/>
    </font>
    <font>
      <i/>
      <sz val="11"/>
      <color theme="1"/>
      <name val="Calibri"/>
      <family val="2"/>
      <scheme val="minor"/>
    </font>
    <font>
      <b/>
      <i/>
      <sz val="11"/>
      <color theme="1"/>
      <name val="Calibri"/>
      <family val="2"/>
      <scheme val="minor"/>
    </font>
    <font>
      <i/>
      <u/>
      <sz val="11"/>
      <color theme="10"/>
      <name val="Calibri"/>
      <family val="2"/>
      <scheme val="minor"/>
    </font>
    <font>
      <i/>
      <vertAlign val="subscript"/>
      <sz val="11"/>
      <color theme="1"/>
      <name val="Calibri"/>
      <family val="2"/>
      <scheme val="minor"/>
    </font>
    <font>
      <sz val="11"/>
      <color rgb="FFFF0000"/>
      <name val="Times New Roman"/>
      <family val="1"/>
    </font>
    <font>
      <sz val="11"/>
      <color rgb="FF00B050"/>
      <name val="Times New Roman"/>
      <family val="1"/>
    </font>
  </fonts>
  <fills count="11">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8"/>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9"/>
        <bgColor indexed="64"/>
      </patternFill>
    </fill>
    <fill>
      <patternFill patternType="solid">
        <fgColor theme="8" tint="-0.249977111117893"/>
        <bgColor indexed="64"/>
      </patternFill>
    </fill>
  </fills>
  <borders count="1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applyNumberFormat="0" applyFill="0" applyBorder="0" applyAlignment="0" applyProtection="0"/>
    <xf numFmtId="0" fontId="23" fillId="0" borderId="0" applyNumberFormat="0" applyBorder="0" applyAlignment="0"/>
  </cellStyleXfs>
  <cellXfs count="83">
    <xf numFmtId="0" fontId="0" fillId="0" borderId="0" xfId="0"/>
    <xf numFmtId="0" fontId="4" fillId="0" borderId="0" xfId="0" applyFont="1"/>
    <xf numFmtId="0" fontId="4" fillId="5" borderId="0" xfId="0" applyFont="1" applyFill="1"/>
    <xf numFmtId="0" fontId="4" fillId="0" borderId="0" xfId="0" applyFont="1" applyAlignment="1">
      <alignment horizontal="center"/>
    </xf>
    <xf numFmtId="0" fontId="5" fillId="0" borderId="0" xfId="0" applyFont="1" applyAlignment="1">
      <alignment horizontal="left"/>
    </xf>
    <xf numFmtId="0" fontId="3" fillId="4" borderId="0" xfId="0" applyFont="1" applyFill="1"/>
    <xf numFmtId="0" fontId="4" fillId="4" borderId="0" xfId="0" applyFont="1" applyFill="1" applyAlignment="1">
      <alignment horizontal="center"/>
    </xf>
    <xf numFmtId="166" fontId="4" fillId="3" borderId="0" xfId="0" applyNumberFormat="1" applyFont="1" applyFill="1" applyAlignment="1">
      <alignment horizontal="center"/>
    </xf>
    <xf numFmtId="166" fontId="4" fillId="3" borderId="0" xfId="0" quotePrefix="1" applyNumberFormat="1" applyFont="1" applyFill="1" applyAlignment="1">
      <alignment horizontal="center"/>
    </xf>
    <xf numFmtId="0" fontId="5" fillId="0" borderId="0" xfId="0" applyFont="1"/>
    <xf numFmtId="0" fontId="8" fillId="0" borderId="0" xfId="0" applyFont="1" applyAlignment="1">
      <alignment vertical="top"/>
    </xf>
    <xf numFmtId="166" fontId="4" fillId="5" borderId="0" xfId="0" applyNumberFormat="1" applyFont="1" applyFill="1"/>
    <xf numFmtId="0" fontId="3" fillId="6" borderId="0" xfId="0" applyFont="1" applyFill="1"/>
    <xf numFmtId="0" fontId="4" fillId="8" borderId="0" xfId="0" applyFont="1" applyFill="1"/>
    <xf numFmtId="0" fontId="4" fillId="7" borderId="0" xfId="0" applyFont="1" applyFill="1" applyAlignment="1">
      <alignment horizontal="center"/>
    </xf>
    <xf numFmtId="165" fontId="4" fillId="7" borderId="0" xfId="0" applyNumberFormat="1" applyFont="1" applyFill="1" applyAlignment="1">
      <alignment horizontal="center"/>
    </xf>
    <xf numFmtId="164" fontId="4" fillId="7" borderId="0" xfId="0" applyNumberFormat="1" applyFont="1" applyFill="1" applyAlignment="1">
      <alignment horizontal="center"/>
    </xf>
    <xf numFmtId="0" fontId="12" fillId="0" borderId="0" xfId="0" applyFont="1"/>
    <xf numFmtId="0" fontId="4" fillId="8" borderId="0" xfId="0" applyFont="1" applyFill="1" applyAlignment="1">
      <alignment wrapText="1"/>
    </xf>
    <xf numFmtId="0" fontId="11" fillId="0" borderId="0" xfId="1" applyFont="1" applyAlignment="1">
      <alignment vertical="center"/>
    </xf>
    <xf numFmtId="0" fontId="6" fillId="8" borderId="0" xfId="0" applyFont="1" applyFill="1" applyAlignment="1">
      <alignment wrapText="1"/>
    </xf>
    <xf numFmtId="0" fontId="4" fillId="7" borderId="0" xfId="0" applyFont="1" applyFill="1"/>
    <xf numFmtId="0" fontId="4" fillId="5" borderId="7" xfId="0" applyFont="1" applyFill="1" applyBorder="1"/>
    <xf numFmtId="166" fontId="10" fillId="3" borderId="8" xfId="0" applyNumberFormat="1" applyFont="1" applyFill="1" applyBorder="1" applyAlignment="1">
      <alignment horizontal="center"/>
    </xf>
    <xf numFmtId="0" fontId="4" fillId="5" borderId="9" xfId="0" applyFont="1" applyFill="1" applyBorder="1"/>
    <xf numFmtId="165" fontId="5" fillId="0" borderId="0" xfId="0" applyNumberFormat="1" applyFont="1"/>
    <xf numFmtId="0" fontId="5" fillId="5" borderId="0" xfId="0" applyFont="1" applyFill="1" applyAlignment="1">
      <alignment horizontal="left" vertical="center"/>
    </xf>
    <xf numFmtId="0" fontId="4" fillId="5" borderId="0" xfId="0" applyFont="1" applyFill="1" applyAlignment="1">
      <alignment wrapText="1"/>
    </xf>
    <xf numFmtId="166" fontId="4" fillId="3" borderId="0" xfId="0" applyNumberFormat="1" applyFont="1" applyFill="1" applyAlignment="1">
      <alignment horizontal="center" vertical="center"/>
    </xf>
    <xf numFmtId="0" fontId="4" fillId="5" borderId="0" xfId="0" applyFont="1" applyFill="1" applyAlignment="1">
      <alignment vertical="center"/>
    </xf>
    <xf numFmtId="0" fontId="15" fillId="0" borderId="0" xfId="0" applyFont="1"/>
    <xf numFmtId="0" fontId="5" fillId="5" borderId="0" xfId="0" applyFont="1" applyFill="1" applyAlignment="1">
      <alignment wrapText="1"/>
    </xf>
    <xf numFmtId="166" fontId="5" fillId="3" borderId="0" xfId="0" applyNumberFormat="1" applyFont="1" applyFill="1" applyAlignment="1">
      <alignment horizontal="center" vertical="center"/>
    </xf>
    <xf numFmtId="0" fontId="5" fillId="5" borderId="0" xfId="0" applyFont="1" applyFill="1" applyAlignment="1">
      <alignment vertical="center"/>
    </xf>
    <xf numFmtId="166" fontId="6" fillId="3" borderId="0" xfId="0" applyNumberFormat="1" applyFont="1" applyFill="1" applyAlignment="1">
      <alignment horizontal="center"/>
    </xf>
    <xf numFmtId="0" fontId="18" fillId="5" borderId="0" xfId="0" applyFont="1" applyFill="1"/>
    <xf numFmtId="166" fontId="18" fillId="3" borderId="0" xfId="0" applyNumberFormat="1" applyFont="1" applyFill="1" applyAlignment="1">
      <alignment horizontal="center"/>
    </xf>
    <xf numFmtId="166" fontId="18" fillId="5" borderId="0" xfId="0" applyNumberFormat="1" applyFont="1" applyFill="1"/>
    <xf numFmtId="0" fontId="18" fillId="0" borderId="0" xfId="0" applyFont="1"/>
    <xf numFmtId="0" fontId="18" fillId="5" borderId="7" xfId="0" applyFont="1" applyFill="1" applyBorder="1"/>
    <xf numFmtId="166" fontId="20" fillId="3" borderId="8" xfId="0" applyNumberFormat="1" applyFont="1" applyFill="1" applyBorder="1" applyAlignment="1">
      <alignment horizontal="center"/>
    </xf>
    <xf numFmtId="0" fontId="18" fillId="5" borderId="9" xfId="0" applyFont="1" applyFill="1" applyBorder="1"/>
    <xf numFmtId="0" fontId="18" fillId="0" borderId="0" xfId="0" applyFont="1" applyAlignment="1">
      <alignment horizontal="center"/>
    </xf>
    <xf numFmtId="0" fontId="18" fillId="5" borderId="7" xfId="0" applyFont="1" applyFill="1" applyBorder="1" applyAlignment="1">
      <alignment vertical="top" wrapText="1"/>
    </xf>
    <xf numFmtId="0" fontId="18" fillId="5" borderId="0" xfId="0" applyFont="1" applyFill="1" applyAlignment="1">
      <alignment vertical="top" wrapText="1"/>
    </xf>
    <xf numFmtId="166" fontId="21" fillId="3" borderId="8" xfId="0" applyNumberFormat="1" applyFont="1" applyFill="1" applyBorder="1" applyAlignment="1">
      <alignment horizontal="center"/>
    </xf>
    <xf numFmtId="166" fontId="12" fillId="0" borderId="0" xfId="0" applyNumberFormat="1" applyFont="1"/>
    <xf numFmtId="0" fontId="22" fillId="0" borderId="0" xfId="0" applyFont="1"/>
    <xf numFmtId="0" fontId="24" fillId="0" borderId="12" xfId="0" applyFont="1" applyBorder="1" applyAlignment="1">
      <alignment horizontal="left" vertical="top"/>
    </xf>
    <xf numFmtId="0" fontId="26" fillId="0" borderId="0" xfId="1" applyFont="1"/>
    <xf numFmtId="0" fontId="4" fillId="5" borderId="7" xfId="0" applyFont="1" applyFill="1" applyBorder="1" applyAlignment="1">
      <alignment wrapText="1"/>
    </xf>
    <xf numFmtId="0" fontId="24" fillId="0" borderId="0" xfId="0" applyFont="1" applyAlignment="1">
      <alignment horizontal="left" vertical="top"/>
    </xf>
    <xf numFmtId="1" fontId="4" fillId="7" borderId="0" xfId="0" applyNumberFormat="1" applyFont="1" applyFill="1" applyAlignment="1">
      <alignment horizontal="center"/>
    </xf>
    <xf numFmtId="0" fontId="28" fillId="0" borderId="0" xfId="0" applyFont="1"/>
    <xf numFmtId="0" fontId="6" fillId="5" borderId="0" xfId="0" applyFont="1" applyFill="1"/>
    <xf numFmtId="0" fontId="29" fillId="0" borderId="0" xfId="0" applyFont="1"/>
    <xf numFmtId="164" fontId="21" fillId="3" borderId="8" xfId="0" applyNumberFormat="1" applyFont="1" applyFill="1" applyBorder="1" applyAlignment="1">
      <alignment horizontal="center"/>
    </xf>
    <xf numFmtId="164" fontId="10" fillId="3" borderId="8" xfId="0" applyNumberFormat="1" applyFont="1" applyFill="1" applyBorder="1" applyAlignment="1">
      <alignment horizontal="center"/>
    </xf>
    <xf numFmtId="0" fontId="6" fillId="5" borderId="0" xfId="0" applyFont="1" applyFill="1" applyAlignment="1">
      <alignment wrapText="1"/>
    </xf>
    <xf numFmtId="0" fontId="8" fillId="0" borderId="0" xfId="0" applyFont="1"/>
    <xf numFmtId="0" fontId="4" fillId="2" borderId="0" xfId="0" applyFont="1" applyFill="1" applyAlignment="1" applyProtection="1">
      <alignment horizontal="center"/>
      <protection locked="0"/>
    </xf>
    <xf numFmtId="166" fontId="4" fillId="2" borderId="0" xfId="0" applyNumberFormat="1" applyFont="1" applyFill="1" applyAlignment="1" applyProtection="1">
      <alignment horizontal="center"/>
      <protection locked="0"/>
    </xf>
    <xf numFmtId="2" fontId="4" fillId="2" borderId="0" xfId="0" applyNumberFormat="1" applyFont="1" applyFill="1" applyAlignment="1" applyProtection="1">
      <alignment horizontal="center"/>
      <protection locked="0"/>
    </xf>
    <xf numFmtId="0" fontId="6" fillId="2" borderId="0" xfId="0" applyFont="1" applyFill="1" applyAlignment="1" applyProtection="1">
      <alignment horizontal="center"/>
      <protection locked="0"/>
    </xf>
    <xf numFmtId="0" fontId="5" fillId="2" borderId="0" xfId="0" applyFont="1" applyFill="1" applyAlignment="1" applyProtection="1">
      <alignment horizontal="center"/>
      <protection locked="0"/>
    </xf>
    <xf numFmtId="2" fontId="4" fillId="3" borderId="0" xfId="0" applyNumberFormat="1" applyFont="1" applyFill="1" applyAlignment="1">
      <alignment horizontal="center"/>
    </xf>
    <xf numFmtId="0" fontId="3" fillId="9" borderId="0" xfId="0" applyFont="1" applyFill="1" applyAlignment="1">
      <alignment horizontal="center"/>
    </xf>
    <xf numFmtId="0" fontId="3" fillId="2" borderId="1" xfId="0" applyFont="1" applyFill="1" applyBorder="1" applyAlignment="1">
      <alignment horizontal="center"/>
    </xf>
    <xf numFmtId="0" fontId="3" fillId="2" borderId="10" xfId="0" applyFont="1" applyFill="1" applyBorder="1" applyAlignment="1">
      <alignment horizontal="center"/>
    </xf>
    <xf numFmtId="0" fontId="3" fillId="2" borderId="2" xfId="0" applyFont="1" applyFill="1" applyBorder="1" applyAlignment="1">
      <alignment horizontal="center"/>
    </xf>
    <xf numFmtId="0" fontId="4" fillId="3" borderId="3" xfId="0" applyFont="1" applyFill="1" applyBorder="1" applyAlignment="1">
      <alignment horizontal="center"/>
    </xf>
    <xf numFmtId="0" fontId="4" fillId="3" borderId="0" xfId="0" applyFont="1" applyFill="1" applyAlignment="1">
      <alignment horizontal="center"/>
    </xf>
    <xf numFmtId="0" fontId="4" fillId="3" borderId="4" xfId="0" applyFont="1" applyFill="1" applyBorder="1" applyAlignment="1">
      <alignment horizontal="center"/>
    </xf>
    <xf numFmtId="0" fontId="5" fillId="0" borderId="5" xfId="0" applyFont="1" applyBorder="1" applyAlignment="1">
      <alignment horizontal="center"/>
    </xf>
    <xf numFmtId="0" fontId="5" fillId="0" borderId="11" xfId="0" applyFont="1" applyBorder="1" applyAlignment="1">
      <alignment horizontal="center"/>
    </xf>
    <xf numFmtId="0" fontId="5" fillId="0" borderId="6" xfId="0" applyFont="1" applyBorder="1" applyAlignment="1">
      <alignment horizontal="center"/>
    </xf>
    <xf numFmtId="0" fontId="16" fillId="0" borderId="0" xfId="0" applyFont="1" applyAlignment="1">
      <alignment horizontal="left" vertical="center" wrapText="1"/>
    </xf>
    <xf numFmtId="0" fontId="10" fillId="6" borderId="0" xfId="0" applyFont="1" applyFill="1" applyAlignment="1">
      <alignment horizontal="center"/>
    </xf>
    <xf numFmtId="0" fontId="3" fillId="4" borderId="0" xfId="0" applyFont="1" applyFill="1" applyAlignment="1">
      <alignment horizontal="center"/>
    </xf>
    <xf numFmtId="0" fontId="3" fillId="0" borderId="0" xfId="0" applyFont="1" applyAlignment="1">
      <alignment horizontal="center"/>
    </xf>
    <xf numFmtId="0" fontId="4" fillId="2" borderId="0" xfId="0" applyFont="1" applyFill="1" applyAlignment="1" applyProtection="1">
      <alignment horizontal="center"/>
      <protection locked="0"/>
    </xf>
    <xf numFmtId="0" fontId="17" fillId="4" borderId="0" xfId="0" applyFont="1" applyFill="1" applyAlignment="1">
      <alignment horizontal="center"/>
    </xf>
    <xf numFmtId="0" fontId="13" fillId="10" borderId="0" xfId="0" applyFont="1" applyFill="1" applyAlignment="1">
      <alignment horizontal="center"/>
    </xf>
  </cellXfs>
  <cellStyles count="3">
    <cellStyle name="Hüperlink" xfId="1" builtinId="8"/>
    <cellStyle name="Normaallaad" xfId="0" builtinId="0"/>
    <cellStyle name="Normaallaad 2" xfId="2" xr:uid="{BB8FC785-F489-4F81-9252-9B565D0A405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unfccc.int/ghg-inventories-annex-i-parties/2022" TargetMode="External"/><Relationship Id="rId7" Type="http://schemas.openxmlformats.org/officeDocument/2006/relationships/printerSettings" Target="../printerSettings/printerSettings1.bin"/><Relationship Id="rId2" Type="http://schemas.openxmlformats.org/officeDocument/2006/relationships/hyperlink" Target="https://unfccc.int/ghg-inventories-annex-i-parties/2022" TargetMode="External"/><Relationship Id="rId1" Type="http://schemas.openxmlformats.org/officeDocument/2006/relationships/hyperlink" Target="https://ec.europa.eu/jrc/en/publication/eur-scientific-and-technical-research-reports/jec-well-tank-report-v5" TargetMode="External"/><Relationship Id="rId6" Type="http://schemas.openxmlformats.org/officeDocument/2006/relationships/hyperlink" Target="https://unfccc.int/ghg-inventories-annex-i-parties/2022" TargetMode="External"/><Relationship Id="rId5" Type="http://schemas.openxmlformats.org/officeDocument/2006/relationships/hyperlink" Target="http://www.taastuvenergeetika.ee/wp-content/uploads/2021/11/ETEK_aastaraamat_2020_veebi.pdf" TargetMode="External"/><Relationship Id="rId4" Type="http://schemas.openxmlformats.org/officeDocument/2006/relationships/hyperlink" Target="http://www.taastuvenergeetika.ee/wp-content/uploads/2021/11/ETEK_aastaraamat_2020_veebi.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unfccc.int/ghg-inventories-annex-i-parties/2022" TargetMode="External"/><Relationship Id="rId7" Type="http://schemas.openxmlformats.org/officeDocument/2006/relationships/printerSettings" Target="../printerSettings/printerSettings2.bin"/><Relationship Id="rId2" Type="http://schemas.openxmlformats.org/officeDocument/2006/relationships/hyperlink" Target="https://unfccc.int/ghg-inventories-annex-i-parties/2022" TargetMode="External"/><Relationship Id="rId1" Type="http://schemas.openxmlformats.org/officeDocument/2006/relationships/hyperlink" Target="https://ec.europa.eu/jrc/en/publication/eur-scientific-and-technical-research-reports/jec-well-tank-report-v5" TargetMode="External"/><Relationship Id="rId6" Type="http://schemas.openxmlformats.org/officeDocument/2006/relationships/hyperlink" Target="https://unfccc.int/ghg-inventories-annex-i-parties/2022" TargetMode="External"/><Relationship Id="rId5" Type="http://schemas.openxmlformats.org/officeDocument/2006/relationships/hyperlink" Target="http://www.taastuvenergeetika.ee/wp-content/uploads/2021/11/ETEK_aastaraamat_2020_veebi.pdf" TargetMode="External"/><Relationship Id="rId4" Type="http://schemas.openxmlformats.org/officeDocument/2006/relationships/hyperlink" Target="http://www.taastuvenergeetika.ee/wp-content/uploads/2021/11/ETEK_aastaraamat_2020_veeb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358AA-3DA2-489B-A3A7-1B8CA1EE9FD6}">
  <dimension ref="A1:P107"/>
  <sheetViews>
    <sheetView tabSelected="1" zoomScale="80" zoomScaleNormal="80" workbookViewId="0">
      <selection activeCell="D5" sqref="D5"/>
    </sheetView>
  </sheetViews>
  <sheetFormatPr defaultColWidth="8.81640625" defaultRowHeight="14" x14ac:dyDescent="0.3"/>
  <cols>
    <col min="1" max="1" width="54.36328125" style="1" customWidth="1"/>
    <col min="2" max="3" width="23.08984375" style="1" customWidth="1"/>
    <col min="4" max="4" width="25" style="1" customWidth="1"/>
    <col min="5" max="5" width="8.81640625" style="1" bestFit="1" customWidth="1"/>
    <col min="6" max="12" width="8.81640625" style="1"/>
    <col min="13" max="13" width="11.54296875" style="1" bestFit="1" customWidth="1"/>
    <col min="14" max="14" width="8.81640625" style="1" bestFit="1" customWidth="1"/>
    <col min="15" max="15" width="8.81640625" style="1"/>
    <col min="16" max="16" width="8.81640625" style="1" bestFit="1" customWidth="1"/>
    <col min="17" max="16384" width="8.81640625" style="1"/>
  </cols>
  <sheetData>
    <row r="1" spans="1:9" ht="14.5" customHeight="1" x14ac:dyDescent="0.3">
      <c r="A1" s="66" t="s">
        <v>185</v>
      </c>
      <c r="B1" s="66"/>
      <c r="C1" s="66"/>
      <c r="D1" s="67" t="s">
        <v>65</v>
      </c>
      <c r="E1" s="68"/>
      <c r="F1" s="69"/>
    </row>
    <row r="2" spans="1:9" x14ac:dyDescent="0.3">
      <c r="A2" s="26" t="s">
        <v>63</v>
      </c>
      <c r="B2" s="80" t="s">
        <v>111</v>
      </c>
      <c r="C2" s="80"/>
      <c r="D2" s="70" t="s">
        <v>54</v>
      </c>
      <c r="E2" s="71"/>
      <c r="F2" s="72"/>
      <c r="I2" s="1" t="s">
        <v>128</v>
      </c>
    </row>
    <row r="3" spans="1:9" ht="15" customHeight="1" thickBot="1" x14ac:dyDescent="0.35">
      <c r="A3" s="26" t="s">
        <v>64</v>
      </c>
      <c r="B3" s="80" t="s">
        <v>112</v>
      </c>
      <c r="C3" s="80"/>
      <c r="D3" s="73" t="s">
        <v>55</v>
      </c>
      <c r="E3" s="74"/>
      <c r="F3" s="75"/>
    </row>
    <row r="4" spans="1:9" ht="32" customHeight="1" x14ac:dyDescent="0.3">
      <c r="A4" s="76" t="s">
        <v>130</v>
      </c>
      <c r="B4" s="76"/>
      <c r="C4" s="76"/>
      <c r="D4" s="76"/>
      <c r="E4" s="76"/>
      <c r="F4" s="76"/>
    </row>
    <row r="5" spans="1:9" x14ac:dyDescent="0.3">
      <c r="A5" s="79" t="s">
        <v>0</v>
      </c>
      <c r="B5" s="79"/>
      <c r="C5" s="79"/>
    </row>
    <row r="6" spans="1:9" x14ac:dyDescent="0.3">
      <c r="A6" s="78" t="s">
        <v>186</v>
      </c>
      <c r="B6" s="78"/>
      <c r="C6" s="78"/>
      <c r="D6" s="9" t="s">
        <v>154</v>
      </c>
    </row>
    <row r="7" spans="1:9" x14ac:dyDescent="0.3">
      <c r="A7" s="27" t="s">
        <v>67</v>
      </c>
      <c r="B7" s="60">
        <v>3</v>
      </c>
      <c r="C7" s="2" t="s">
        <v>1</v>
      </c>
    </row>
    <row r="8" spans="1:9" x14ac:dyDescent="0.3">
      <c r="A8" s="27" t="s">
        <v>177</v>
      </c>
      <c r="B8" s="7">
        <f>SUM(B35:D35)</f>
        <v>26.6</v>
      </c>
      <c r="C8" s="2" t="s">
        <v>2</v>
      </c>
      <c r="D8" s="9" t="s">
        <v>175</v>
      </c>
    </row>
    <row r="9" spans="1:9" x14ac:dyDescent="0.3">
      <c r="A9" s="27" t="s">
        <v>178</v>
      </c>
      <c r="B9" s="7">
        <f>SUM(B36:D36)</f>
        <v>24</v>
      </c>
      <c r="C9" s="2" t="s">
        <v>2</v>
      </c>
      <c r="D9" s="9" t="s">
        <v>176</v>
      </c>
      <c r="E9" s="55"/>
    </row>
    <row r="10" spans="1:9" x14ac:dyDescent="0.3">
      <c r="A10" s="27" t="s">
        <v>108</v>
      </c>
      <c r="B10" s="61">
        <v>0.5</v>
      </c>
      <c r="C10" s="2" t="s">
        <v>109</v>
      </c>
    </row>
    <row r="11" spans="1:9" ht="42" x14ac:dyDescent="0.3">
      <c r="A11" s="27" t="s">
        <v>174</v>
      </c>
      <c r="B11" s="7">
        <f>1/B10</f>
        <v>2</v>
      </c>
      <c r="C11" s="2" t="s">
        <v>110</v>
      </c>
      <c r="D11" s="17" t="s">
        <v>149</v>
      </c>
      <c r="E11" s="55"/>
    </row>
    <row r="12" spans="1:9" ht="28" x14ac:dyDescent="0.3">
      <c r="A12" s="27" t="s">
        <v>172</v>
      </c>
      <c r="B12" s="61">
        <v>20000</v>
      </c>
      <c r="C12" s="2" t="s">
        <v>150</v>
      </c>
      <c r="D12" s="17" t="s">
        <v>149</v>
      </c>
      <c r="E12" s="55"/>
      <c r="F12" s="53"/>
    </row>
    <row r="13" spans="1:9" x14ac:dyDescent="0.3">
      <c r="A13" s="27" t="s">
        <v>153</v>
      </c>
      <c r="B13" s="61">
        <v>10</v>
      </c>
      <c r="C13" s="2" t="s">
        <v>151</v>
      </c>
      <c r="D13" s="17" t="s">
        <v>152</v>
      </c>
      <c r="F13" s="53"/>
    </row>
    <row r="14" spans="1:9" ht="28" x14ac:dyDescent="0.3">
      <c r="A14" s="27" t="s">
        <v>155</v>
      </c>
      <c r="B14" s="62">
        <v>0.01</v>
      </c>
      <c r="C14" s="2" t="s">
        <v>156</v>
      </c>
      <c r="D14" s="17" t="s">
        <v>157</v>
      </c>
      <c r="E14" s="55"/>
      <c r="F14" s="53"/>
    </row>
    <row r="15" spans="1:9" ht="28" x14ac:dyDescent="0.3">
      <c r="A15" s="58" t="s">
        <v>158</v>
      </c>
      <c r="B15" s="61">
        <v>6000000</v>
      </c>
      <c r="C15" s="2" t="s">
        <v>77</v>
      </c>
    </row>
    <row r="16" spans="1:9" x14ac:dyDescent="0.3">
      <c r="A16" s="27" t="s">
        <v>101</v>
      </c>
      <c r="B16" s="7">
        <f>B15/B9</f>
        <v>250000</v>
      </c>
      <c r="C16" s="2" t="s">
        <v>102</v>
      </c>
      <c r="D16" s="17" t="s">
        <v>100</v>
      </c>
    </row>
    <row r="17" spans="1:7" ht="17" x14ac:dyDescent="0.45">
      <c r="A17" s="27" t="s">
        <v>143</v>
      </c>
      <c r="B17" s="65">
        <f>SUM(B58,B63)</f>
        <v>1.0153264110884064</v>
      </c>
      <c r="C17" s="2" t="s">
        <v>144</v>
      </c>
      <c r="D17" s="17" t="s">
        <v>100</v>
      </c>
    </row>
    <row r="18" spans="1:7" x14ac:dyDescent="0.3">
      <c r="B18" s="3"/>
    </row>
    <row r="19" spans="1:7" x14ac:dyDescent="0.3">
      <c r="A19" s="79" t="s">
        <v>3</v>
      </c>
      <c r="B19" s="79"/>
      <c r="C19" s="79"/>
      <c r="D19" s="79"/>
      <c r="E19" s="79"/>
      <c r="F19" s="79"/>
      <c r="G19" s="4" t="s">
        <v>4</v>
      </c>
    </row>
    <row r="20" spans="1:7" x14ac:dyDescent="0.3">
      <c r="A20" s="2" t="s">
        <v>19</v>
      </c>
      <c r="B20" s="60">
        <v>2</v>
      </c>
      <c r="C20" s="1" t="s">
        <v>1</v>
      </c>
    </row>
    <row r="21" spans="1:7" x14ac:dyDescent="0.3">
      <c r="A21" s="5" t="s">
        <v>5</v>
      </c>
      <c r="B21" s="6" t="s">
        <v>24</v>
      </c>
      <c r="C21" s="6" t="s">
        <v>25</v>
      </c>
      <c r="D21" s="6" t="s">
        <v>26</v>
      </c>
      <c r="E21" s="6" t="s">
        <v>39</v>
      </c>
      <c r="F21" s="6" t="s">
        <v>94</v>
      </c>
      <c r="G21" s="9" t="s">
        <v>72</v>
      </c>
    </row>
    <row r="22" spans="1:7" x14ac:dyDescent="0.3">
      <c r="A22" s="2" t="s">
        <v>20</v>
      </c>
      <c r="B22" s="61">
        <v>30</v>
      </c>
      <c r="C22" s="61">
        <v>10</v>
      </c>
      <c r="D22" s="61">
        <v>10</v>
      </c>
      <c r="E22" s="7">
        <f>SUM(B22:D22)</f>
        <v>50</v>
      </c>
      <c r="F22" s="2" t="s">
        <v>2</v>
      </c>
    </row>
    <row r="23" spans="1:7" x14ac:dyDescent="0.3">
      <c r="A23" s="2" t="s">
        <v>21</v>
      </c>
      <c r="B23" s="63" t="s">
        <v>15</v>
      </c>
      <c r="C23" s="63" t="s">
        <v>16</v>
      </c>
      <c r="D23" s="63" t="s">
        <v>12</v>
      </c>
      <c r="E23" s="8" t="s">
        <v>56</v>
      </c>
      <c r="F23" s="2"/>
      <c r="G23" s="59" t="s">
        <v>170</v>
      </c>
    </row>
    <row r="24" spans="1:7" x14ac:dyDescent="0.3">
      <c r="A24" s="2" t="s">
        <v>27</v>
      </c>
      <c r="B24" s="63" t="s">
        <v>31</v>
      </c>
      <c r="C24" s="63" t="s">
        <v>28</v>
      </c>
      <c r="D24" s="63" t="s">
        <v>32</v>
      </c>
      <c r="E24" s="8" t="s">
        <v>56</v>
      </c>
      <c r="F24" s="2"/>
    </row>
    <row r="25" spans="1:7" x14ac:dyDescent="0.3">
      <c r="A25" s="2" t="s">
        <v>90</v>
      </c>
      <c r="B25" s="61">
        <f>15*365*24*0.23*0.95</f>
        <v>28710.899999999998</v>
      </c>
      <c r="C25" s="61">
        <f>5*365*24*0.25*0.97</f>
        <v>10621.5</v>
      </c>
      <c r="D25" s="61">
        <f>5*365*24*0.5*0.99</f>
        <v>21681</v>
      </c>
      <c r="E25" s="7">
        <f t="shared" ref="E25:E29" si="0">SUM(B25:D25)</f>
        <v>61013.399999999994</v>
      </c>
      <c r="F25" s="2" t="s">
        <v>6</v>
      </c>
    </row>
    <row r="26" spans="1:7" x14ac:dyDescent="0.3">
      <c r="A26" s="2" t="s">
        <v>91</v>
      </c>
      <c r="B26" s="61">
        <f>15*365*24*0.77*0.95</f>
        <v>96119.099999999991</v>
      </c>
      <c r="C26" s="61">
        <f>5*365*24*0.75*0.97</f>
        <v>31864.5</v>
      </c>
      <c r="D26" s="61">
        <v>0</v>
      </c>
      <c r="E26" s="7">
        <f t="shared" si="0"/>
        <v>127983.59999999999</v>
      </c>
      <c r="F26" s="2" t="s">
        <v>6</v>
      </c>
      <c r="G26" s="9" t="s">
        <v>41</v>
      </c>
    </row>
    <row r="27" spans="1:7" x14ac:dyDescent="0.3">
      <c r="A27" s="2" t="s">
        <v>84</v>
      </c>
      <c r="B27" s="61">
        <v>99</v>
      </c>
      <c r="C27" s="61">
        <v>85</v>
      </c>
      <c r="D27" s="61">
        <v>70</v>
      </c>
      <c r="E27" s="7">
        <f t="shared" si="0"/>
        <v>254</v>
      </c>
      <c r="F27" s="2" t="s">
        <v>86</v>
      </c>
      <c r="G27" s="9" t="s">
        <v>88</v>
      </c>
    </row>
    <row r="28" spans="1:7" x14ac:dyDescent="0.3">
      <c r="A28" s="2" t="s">
        <v>82</v>
      </c>
      <c r="B28" s="7">
        <f>B25*B27/100</f>
        <v>28423.790999999997</v>
      </c>
      <c r="C28" s="7">
        <f t="shared" ref="C28:D28" si="1">C25*C27/100</f>
        <v>9028.2749999999996</v>
      </c>
      <c r="D28" s="7">
        <f t="shared" si="1"/>
        <v>15176.7</v>
      </c>
      <c r="E28" s="7">
        <f t="shared" si="0"/>
        <v>52628.766000000003</v>
      </c>
      <c r="F28" s="2" t="s">
        <v>6</v>
      </c>
      <c r="G28" s="17"/>
    </row>
    <row r="29" spans="1:7" x14ac:dyDescent="0.3">
      <c r="A29" s="2" t="s">
        <v>85</v>
      </c>
      <c r="B29" s="61">
        <v>85</v>
      </c>
      <c r="C29" s="61">
        <v>70</v>
      </c>
      <c r="D29" s="61"/>
      <c r="E29" s="7">
        <f t="shared" si="0"/>
        <v>155</v>
      </c>
      <c r="F29" s="2" t="s">
        <v>86</v>
      </c>
      <c r="G29" s="9" t="s">
        <v>88</v>
      </c>
    </row>
    <row r="30" spans="1:7" x14ac:dyDescent="0.3">
      <c r="A30" s="2" t="s">
        <v>83</v>
      </c>
      <c r="B30" s="7">
        <f>B26*B29/100</f>
        <v>81701.234999999986</v>
      </c>
      <c r="C30" s="7">
        <f t="shared" ref="C30:D30" si="2">C26*C29/100</f>
        <v>22305.15</v>
      </c>
      <c r="D30" s="7">
        <f t="shared" si="2"/>
        <v>0</v>
      </c>
      <c r="E30" s="7">
        <f t="shared" ref="E30" si="3">SUM(B30:D30)</f>
        <v>104006.38499999998</v>
      </c>
      <c r="F30" s="2" t="s">
        <v>6</v>
      </c>
      <c r="G30" s="17"/>
    </row>
    <row r="31" spans="1:7" x14ac:dyDescent="0.3">
      <c r="B31" s="3"/>
    </row>
    <row r="32" spans="1:7" x14ac:dyDescent="0.3">
      <c r="A32" s="2" t="s">
        <v>92</v>
      </c>
      <c r="B32" s="61">
        <v>0</v>
      </c>
      <c r="C32" s="2" t="s">
        <v>6</v>
      </c>
      <c r="D32" s="9" t="s">
        <v>169</v>
      </c>
    </row>
    <row r="33" spans="1:7" x14ac:dyDescent="0.3">
      <c r="A33" s="9"/>
      <c r="B33" s="9"/>
      <c r="C33" s="9"/>
      <c r="D33" s="9"/>
    </row>
    <row r="34" spans="1:7" x14ac:dyDescent="0.3">
      <c r="A34" s="5" t="s">
        <v>68</v>
      </c>
      <c r="B34" s="6" t="s">
        <v>69</v>
      </c>
      <c r="C34" s="6" t="s">
        <v>70</v>
      </c>
      <c r="D34" s="6" t="s">
        <v>71</v>
      </c>
      <c r="E34" s="6" t="s">
        <v>39</v>
      </c>
      <c r="F34" s="6" t="s">
        <v>94</v>
      </c>
      <c r="G34" s="9" t="s">
        <v>184</v>
      </c>
    </row>
    <row r="35" spans="1:7" x14ac:dyDescent="0.3">
      <c r="A35" s="2" t="s">
        <v>179</v>
      </c>
      <c r="B35" s="61">
        <v>22</v>
      </c>
      <c r="C35" s="61">
        <v>3.5</v>
      </c>
      <c r="D35" s="61">
        <v>1.1000000000000001</v>
      </c>
      <c r="E35" s="7">
        <f>SUM(B35:D35)</f>
        <v>26.6</v>
      </c>
      <c r="F35" s="2" t="s">
        <v>2</v>
      </c>
      <c r="G35" s="9" t="s">
        <v>182</v>
      </c>
    </row>
    <row r="36" spans="1:7" x14ac:dyDescent="0.3">
      <c r="A36" s="2" t="s">
        <v>180</v>
      </c>
      <c r="B36" s="61">
        <v>20</v>
      </c>
      <c r="C36" s="61">
        <v>3</v>
      </c>
      <c r="D36" s="61">
        <v>1</v>
      </c>
      <c r="E36" s="7">
        <f>SUM(B36:D36)</f>
        <v>24</v>
      </c>
      <c r="F36" s="2" t="s">
        <v>2</v>
      </c>
      <c r="G36" s="9" t="s">
        <v>183</v>
      </c>
    </row>
    <row r="37" spans="1:7" ht="28" x14ac:dyDescent="0.3">
      <c r="A37" s="31" t="s">
        <v>181</v>
      </c>
      <c r="B37" s="28">
        <f>B36*0.5*365*24</f>
        <v>87600</v>
      </c>
      <c r="C37" s="28">
        <f t="shared" ref="C37:D37" si="4">C36*0.5*365*24</f>
        <v>13140</v>
      </c>
      <c r="D37" s="28">
        <f t="shared" si="4"/>
        <v>4380</v>
      </c>
      <c r="E37" s="28">
        <f>SUM(B37:D37)</f>
        <v>105120</v>
      </c>
      <c r="F37" s="29" t="s">
        <v>6</v>
      </c>
      <c r="G37" s="9"/>
    </row>
    <row r="38" spans="1:7" x14ac:dyDescent="0.3">
      <c r="A38" s="2" t="s">
        <v>103</v>
      </c>
      <c r="B38" s="60" t="s">
        <v>104</v>
      </c>
      <c r="C38" s="60" t="s">
        <v>106</v>
      </c>
      <c r="D38" s="60" t="s">
        <v>106</v>
      </c>
      <c r="E38" s="7" t="s">
        <v>56</v>
      </c>
      <c r="F38" s="2"/>
      <c r="G38" s="9" t="s">
        <v>113</v>
      </c>
    </row>
    <row r="39" spans="1:7" ht="16" x14ac:dyDescent="0.3">
      <c r="A39" s="2" t="s">
        <v>115</v>
      </c>
      <c r="B39" s="61">
        <v>40</v>
      </c>
      <c r="C39" s="61">
        <v>0</v>
      </c>
      <c r="D39" s="61">
        <v>2</v>
      </c>
      <c r="E39" s="7">
        <f>SUM(B39:D39)</f>
        <v>42</v>
      </c>
      <c r="F39" s="2" t="s">
        <v>78</v>
      </c>
      <c r="G39" s="9" t="s">
        <v>116</v>
      </c>
    </row>
    <row r="40" spans="1:7" x14ac:dyDescent="0.3">
      <c r="A40" s="2" t="s">
        <v>95</v>
      </c>
      <c r="B40" s="61">
        <v>0</v>
      </c>
      <c r="C40" s="61">
        <v>15</v>
      </c>
      <c r="D40" s="61">
        <v>30</v>
      </c>
      <c r="E40" s="7" t="s">
        <v>56</v>
      </c>
      <c r="F40" s="2" t="s">
        <v>86</v>
      </c>
    </row>
    <row r="41" spans="1:7" x14ac:dyDescent="0.3">
      <c r="A41" s="2" t="s">
        <v>96</v>
      </c>
      <c r="B41" s="7">
        <f>B25*B40/100</f>
        <v>0</v>
      </c>
      <c r="C41" s="7">
        <f>C25*C40/100</f>
        <v>1593.2249999999999</v>
      </c>
      <c r="D41" s="7">
        <f>D25*D40/100</f>
        <v>6504.3</v>
      </c>
      <c r="E41" s="7">
        <f>SUM(B41:D41)</f>
        <v>8097.5249999999996</v>
      </c>
      <c r="F41" s="2" t="s">
        <v>6</v>
      </c>
    </row>
    <row r="42" spans="1:7" x14ac:dyDescent="0.3">
      <c r="A42" s="2" t="s">
        <v>99</v>
      </c>
      <c r="B42" s="61">
        <v>0</v>
      </c>
      <c r="C42" s="61">
        <f>B32</f>
        <v>0</v>
      </c>
      <c r="D42" s="61"/>
      <c r="E42" s="7">
        <f>SUM(B42:D42)</f>
        <v>0</v>
      </c>
      <c r="F42" s="2" t="s">
        <v>6</v>
      </c>
      <c r="G42" s="9" t="s">
        <v>169</v>
      </c>
    </row>
    <row r="43" spans="1:7" x14ac:dyDescent="0.3">
      <c r="A43" s="2" t="s">
        <v>129</v>
      </c>
      <c r="B43" s="7">
        <f>SUM(B41:B42)</f>
        <v>0</v>
      </c>
      <c r="C43" s="7">
        <f t="shared" ref="C43" si="5">SUM(C41:C42)</f>
        <v>1593.2249999999999</v>
      </c>
      <c r="D43" s="7">
        <f>SUM(D41:D42)</f>
        <v>6504.3</v>
      </c>
      <c r="E43" s="7">
        <f>SUM(B43:D43)</f>
        <v>8097.5249999999996</v>
      </c>
      <c r="F43" s="2" t="s">
        <v>6</v>
      </c>
      <c r="G43" s="46" t="s">
        <v>114</v>
      </c>
    </row>
    <row r="44" spans="1:7" x14ac:dyDescent="0.3">
      <c r="A44" s="2" t="s">
        <v>122</v>
      </c>
      <c r="B44" s="61">
        <v>0</v>
      </c>
      <c r="C44" s="61">
        <v>60</v>
      </c>
      <c r="D44" s="61">
        <v>55</v>
      </c>
      <c r="E44" s="7" t="s">
        <v>56</v>
      </c>
      <c r="F44" s="2" t="s">
        <v>86</v>
      </c>
      <c r="G44" s="9" t="s">
        <v>171</v>
      </c>
    </row>
    <row r="45" spans="1:7" x14ac:dyDescent="0.3">
      <c r="A45" s="2" t="s">
        <v>97</v>
      </c>
      <c r="B45" s="7">
        <f>B41*B44/100</f>
        <v>0</v>
      </c>
      <c r="C45" s="7">
        <f>C41*C44/100</f>
        <v>955.93499999999995</v>
      </c>
      <c r="D45" s="7">
        <f>D41*D44/100</f>
        <v>3577.3649999999998</v>
      </c>
      <c r="E45" s="7">
        <f>SUM(B45:D45)</f>
        <v>4533.2999999999993</v>
      </c>
      <c r="F45" s="2" t="s">
        <v>6</v>
      </c>
      <c r="G45" s="30"/>
    </row>
    <row r="46" spans="1:7" x14ac:dyDescent="0.3">
      <c r="A46" s="2" t="s">
        <v>117</v>
      </c>
      <c r="B46" s="7">
        <f>B42*B44/100</f>
        <v>0</v>
      </c>
      <c r="C46" s="7">
        <f t="shared" ref="C46:D46" si="6">C42*C44/100</f>
        <v>0</v>
      </c>
      <c r="D46" s="7">
        <f t="shared" si="6"/>
        <v>0</v>
      </c>
      <c r="E46" s="7">
        <f>SUM(B46:D46)</f>
        <v>0</v>
      </c>
      <c r="F46" s="2" t="s">
        <v>6</v>
      </c>
      <c r="G46" s="9" t="s">
        <v>173</v>
      </c>
    </row>
    <row r="47" spans="1:7" x14ac:dyDescent="0.3">
      <c r="A47" s="2" t="s">
        <v>98</v>
      </c>
      <c r="B47" s="7">
        <f>SUM(B45:B46)</f>
        <v>0</v>
      </c>
      <c r="C47" s="7">
        <f t="shared" ref="C47:D47" si="7">SUM(C45:C46)</f>
        <v>955.93499999999995</v>
      </c>
      <c r="D47" s="7">
        <f t="shared" si="7"/>
        <v>3577.3649999999998</v>
      </c>
      <c r="E47" s="7">
        <f>SUM(B47:D47)</f>
        <v>4533.2999999999993</v>
      </c>
      <c r="F47" s="2" t="s">
        <v>6</v>
      </c>
      <c r="G47" s="46" t="s">
        <v>114</v>
      </c>
    </row>
    <row r="48" spans="1:7" x14ac:dyDescent="0.3">
      <c r="A48" s="2" t="s">
        <v>87</v>
      </c>
      <c r="B48" s="60">
        <v>0</v>
      </c>
      <c r="C48" s="60">
        <v>0</v>
      </c>
      <c r="D48" s="60">
        <v>0</v>
      </c>
      <c r="E48" s="7" t="s">
        <v>56</v>
      </c>
      <c r="F48" s="2" t="s">
        <v>86</v>
      </c>
    </row>
    <row r="49" spans="1:7" x14ac:dyDescent="0.3">
      <c r="A49" s="2" t="s">
        <v>80</v>
      </c>
      <c r="B49" s="7">
        <f>B26*B48/100</f>
        <v>0</v>
      </c>
      <c r="C49" s="7">
        <f>C26*C48/100</f>
        <v>0</v>
      </c>
      <c r="D49" s="7">
        <f>D26*D48/100</f>
        <v>0</v>
      </c>
      <c r="E49" s="7">
        <f>SUM(B49:D49)</f>
        <v>0</v>
      </c>
      <c r="F49" s="2" t="s">
        <v>6</v>
      </c>
      <c r="G49" s="46" t="s">
        <v>114</v>
      </c>
    </row>
    <row r="50" spans="1:7" x14ac:dyDescent="0.3">
      <c r="A50" s="2" t="s">
        <v>89</v>
      </c>
      <c r="B50" s="61">
        <v>90</v>
      </c>
      <c r="C50" s="61">
        <v>85</v>
      </c>
      <c r="D50" s="61"/>
      <c r="E50" s="7" t="s">
        <v>56</v>
      </c>
      <c r="F50" s="2" t="s">
        <v>86</v>
      </c>
      <c r="G50" s="9" t="s">
        <v>123</v>
      </c>
    </row>
    <row r="51" spans="1:7" x14ac:dyDescent="0.3">
      <c r="A51" s="2" t="s">
        <v>81</v>
      </c>
      <c r="B51" s="7">
        <f>B49*B50/100</f>
        <v>0</v>
      </c>
      <c r="C51" s="7">
        <f>C49*C50/100</f>
        <v>0</v>
      </c>
      <c r="D51" s="7">
        <f t="shared" ref="D51" si="8">D49*D50/100</f>
        <v>0</v>
      </c>
      <c r="E51" s="7">
        <f>SUM(B51:D51)</f>
        <v>0</v>
      </c>
      <c r="F51" s="2" t="s">
        <v>6</v>
      </c>
      <c r="G51" s="46" t="s">
        <v>114</v>
      </c>
    </row>
    <row r="52" spans="1:7" x14ac:dyDescent="0.3">
      <c r="F52" s="9"/>
    </row>
    <row r="53" spans="1:7" x14ac:dyDescent="0.3">
      <c r="A53" s="78" t="s">
        <v>125</v>
      </c>
      <c r="B53" s="78"/>
      <c r="C53" s="78"/>
      <c r="D53" s="78"/>
      <c r="E53" s="78"/>
      <c r="F53" s="9"/>
    </row>
    <row r="54" spans="1:7" ht="17" x14ac:dyDescent="0.45">
      <c r="A54" s="2" t="s">
        <v>118</v>
      </c>
      <c r="B54" s="7">
        <f>(SUM((B23=A84)*B84*B41, (B23=A85)*B85*B41, (B23=A85)*B85*B41, (B23=A86)*B86*B41, (B23=A87)*B87*B41, (B23=A88)*B88*B41,  (B23=A90)*B90*B41)+ SUM((B23=A88)*(B24=A101)*B101*B41, (B23=A87)*(B24=A97)*B97*B41, (B23=A87)*(B24=A98)*B98*B41, (B23=A87)*(B24=A99)*B99*B41, (B23=A87)*(B24=A100)*B100*B41, (B23=A87)*(B24=A102)*B102*B41))+B42*B92</f>
        <v>0</v>
      </c>
      <c r="C54" s="7">
        <f>(SUM((C23=A84)*B84*C41, (C23=A85)*B85*C41, (C23=A85)*B85*C41, (C23=A86)*B86*C41, (C23=A87)*B87*C41, (C23=A88)*B88*C41,  (C23=A90)*B90*C41)+SUM((C23=A88)*(C24=A101)*B101*C41, (C23=A87)*(C24=A97)*B97*C41, (C23=A87)*(C24=A98)*B98*C41, (C23=A87)*(C24=A99)*B99*C41, (C23=A87)*(C24=A100)*B100*C41, (C23=A87)*(C24=A102)*B102*C41))+C42*B92</f>
        <v>-1040.2164510879002</v>
      </c>
      <c r="D54" s="7">
        <f>(SUM((D23=A84)*B84*D41, (D23=A85)*B85*D41, (D23=A85)*B85*D41, (D23=A86)*B86*D41, (D23=A87)*B87*D41, (D23=A88)*B88*D41,  (D23=A90)*B90*D41)+SUM((D23=A88)*(D24=A101)*B101*D41, (D23=A87)*(D24=A97)*B97*D41, (D23=A87)*(D24=A98)*B98*D41, (D23=A87)*(D24=A99)*B99*D41, (D23=A87)*(D24=A100)*B100*D41, (D23=A87)*(D24=A102)*B102*D41))+D42*B92</f>
        <v>0</v>
      </c>
      <c r="E54" s="2" t="s">
        <v>57</v>
      </c>
      <c r="F54" s="9"/>
    </row>
    <row r="55" spans="1:7" ht="17" x14ac:dyDescent="0.45">
      <c r="A55" s="2" t="s">
        <v>160</v>
      </c>
      <c r="B55" s="7">
        <f>SUM(B54:D54)</f>
        <v>-1040.2164510879002</v>
      </c>
      <c r="C55" s="11" t="s">
        <v>57</v>
      </c>
      <c r="F55" s="9"/>
    </row>
    <row r="56" spans="1:7" ht="17.5" thickBot="1" x14ac:dyDescent="0.5">
      <c r="A56" s="2" t="s">
        <v>161</v>
      </c>
      <c r="B56" s="7">
        <f>SUM(B47:D47)*B93</f>
        <v>3562.5627682991717</v>
      </c>
      <c r="C56" s="2" t="s">
        <v>57</v>
      </c>
      <c r="F56" s="9"/>
    </row>
    <row r="57" spans="1:7" ht="17.5" thickBot="1" x14ac:dyDescent="0.5">
      <c r="A57" s="22" t="s">
        <v>162</v>
      </c>
      <c r="B57" s="23">
        <f>B56-B55</f>
        <v>4602.7792193870719</v>
      </c>
      <c r="C57" s="24" t="s">
        <v>57</v>
      </c>
      <c r="D57" s="17" t="s">
        <v>114</v>
      </c>
      <c r="F57" s="9"/>
    </row>
    <row r="58" spans="1:7" ht="30" thickBot="1" x14ac:dyDescent="0.5">
      <c r="A58" s="50" t="s">
        <v>163</v>
      </c>
      <c r="B58" s="57">
        <f>IFERROR(B57/E47,0)</f>
        <v>1.0153264110884064</v>
      </c>
      <c r="C58" s="24" t="s">
        <v>144</v>
      </c>
      <c r="D58" s="17" t="s">
        <v>114</v>
      </c>
      <c r="F58" s="9"/>
    </row>
    <row r="59" spans="1:7" ht="17" x14ac:dyDescent="0.45">
      <c r="A59" s="2" t="s">
        <v>164</v>
      </c>
      <c r="B59" s="7">
        <f>SUM((B23=A84)*B84*B49, (B23=A85)*B85*B49, (B23=A85)*B85*B49, (B23=A86)*B86*B49, (B23=A87)*B87*B49, (B23=A88)*B88*B49,  (B23=A90)*B90*B49)+ SUM((B23=A88)*(B24=A101)*B101*B49, (B23=A87)*(B24=A97)*B97*B49, (B23=A87)*(B24=A98)*B98*B49, (B23=A87)*(B24=A99)*B99*B49, (B23=A87)*(B24=A100)*B100*B49, (B23=A87)*(B24=A102)*B102*B49)</f>
        <v>0</v>
      </c>
      <c r="C59" s="7">
        <f>SUM((C23=A84)*B84*C49, (C23=A85)*B85*C49, (C23=A85)*B85*C49, (C23=A86)*B86*C49, (C23=A87)*B87*C49, (C23=A88)*B88*C49,  (C23=A90)*B90*C49)+SUM((C23=A88)*(C24=A101)*B101*C49, (C23=A87)*(C24=A97)*B97*C49, (C23=A87)*(C24=A98)*B98*C49, (C23=A87)*(C24=A99)*B99*C49, (C23=A87)*(C24=A100)*B100*C49, (C23=A87)*(C24=A102)*B102*C49)</f>
        <v>0</v>
      </c>
      <c r="D59" s="7">
        <f>SUM((D23=A84)*B84*D49, (D23=A85)*B85*D49, (D23=A85)*B85*D49, (D23=A86)*B86*D49, (D23=A87)*B87*D49, (D23=A88)*B88*D49,  (D23=A90)*B90*D49)+SUM((D23=A88)*(D24=A101)*B101*D49, (D23=A87)*(D24=A97)*B97*D49, (D23=A87)*(D24=A98)*B98*D49, (D23=A87)*(D24=A99)*B99*D49, (D23=A87)*(D24=A100)*B100*D49, (D23=A87)*(D24=A102)*B102*D49)</f>
        <v>0</v>
      </c>
      <c r="E59" s="2" t="s">
        <v>57</v>
      </c>
      <c r="F59" s="9"/>
    </row>
    <row r="60" spans="1:7" ht="17" x14ac:dyDescent="0.45">
      <c r="A60" s="2" t="s">
        <v>165</v>
      </c>
      <c r="B60" s="34">
        <f>SUM(B59:D59)</f>
        <v>0</v>
      </c>
      <c r="C60" s="2" t="s">
        <v>57</v>
      </c>
      <c r="F60" s="9"/>
    </row>
    <row r="61" spans="1:7" ht="17.5" thickBot="1" x14ac:dyDescent="0.5">
      <c r="A61" s="2" t="s">
        <v>166</v>
      </c>
      <c r="B61" s="34">
        <f>SUM(B51:D51)*B94</f>
        <v>0</v>
      </c>
      <c r="C61" s="2" t="s">
        <v>57</v>
      </c>
      <c r="D61" s="30"/>
      <c r="F61" s="9"/>
    </row>
    <row r="62" spans="1:7" ht="17.5" thickBot="1" x14ac:dyDescent="0.5">
      <c r="A62" s="22" t="s">
        <v>167</v>
      </c>
      <c r="B62" s="45">
        <f>B61-B60</f>
        <v>0</v>
      </c>
      <c r="C62" s="24" t="s">
        <v>57</v>
      </c>
      <c r="D62" s="17" t="s">
        <v>114</v>
      </c>
      <c r="F62" s="9"/>
    </row>
    <row r="63" spans="1:7" ht="30" thickBot="1" x14ac:dyDescent="0.5">
      <c r="A63" s="50" t="s">
        <v>168</v>
      </c>
      <c r="B63" s="56">
        <f>IFERROR(B62/E51,0)</f>
        <v>0</v>
      </c>
      <c r="C63" s="24" t="s">
        <v>144</v>
      </c>
      <c r="D63" s="17" t="s">
        <v>114</v>
      </c>
      <c r="E63" s="9"/>
      <c r="F63" s="9"/>
    </row>
    <row r="64" spans="1:7" x14ac:dyDescent="0.3">
      <c r="A64" s="30"/>
      <c r="B64" s="30"/>
      <c r="C64" s="30"/>
      <c r="D64" s="30"/>
      <c r="F64" s="9"/>
    </row>
    <row r="65" spans="1:6" x14ac:dyDescent="0.3">
      <c r="A65" s="81" t="s">
        <v>126</v>
      </c>
      <c r="B65" s="81"/>
      <c r="C65" s="81"/>
      <c r="D65" s="81"/>
      <c r="E65" s="81"/>
    </row>
    <row r="66" spans="1:6" ht="17" x14ac:dyDescent="0.45">
      <c r="A66" s="35" t="s">
        <v>50</v>
      </c>
      <c r="B66" s="36">
        <f>SUM((B23=A84)*B84*B25, (B23=A85)*B85*B25, (B23=A85)*B85*B25, (B23=A86)*B86*B25, (B23=A87)*B87*B25, (B23=A88)*B88*B25,  (B23=A90)*B90*B25)+ SUM((B23=A88)*(B24=A101)*B101*B25, (B23=A87)*(B24=A97)*B97*B25, (B23=A87)*(B24=A98)*B98*B25, (B23=A87)*(B24=A99)*B99*B25, (B23=A87)*(B24=A100)*B100*B25, (B23=A87)*(B24=A102)*B102*B25)</f>
        <v>8.7981316018228277</v>
      </c>
      <c r="C66" s="36">
        <f>SUM((C23=A84)*B84*C25, (C23=A85)*B85*C25, (C23=A85)*B85*C25, (C23=A86)*B86*C25, (C23=A87)*B87*C25, (C23=A88)*B88*C25,  (C23=A90)*B90*C25)+SUM((C23=A88)*(C24=A101)*B101*C25, (C23=A87)*(C24=A97)*B97*C25, (C23=A87)*(C24=A98)*B98*C25, (C23=A87)*(C24=A99)*B99*C25, (C23=A87)*(C24=A100)*B100*C25, (C23=A87)*(C24=A102)*B102*C25)</f>
        <v>-6934.7763405860014</v>
      </c>
      <c r="D66" s="36">
        <f>SUM((D23=A84)*B84*D25, (D23=A85)*B85*D25, (D23=A85)*B85*D25, (D23=A86)*B86*D25, (D23=A87)*B87*D25, (D23=A88)*B88*D25,  (D23=A90)*B90*D25)+SUM((D23=A88)*(D24=A101)*B101*D25, (D23=A87)*(D24=A97)*B97*D25, (D23=A87)*(D24=A98)*B98*D25, (D23=A87)*(D24=A99)*B99*D25, (D23=A87)*(D24=A100)*B100*D25, (D23=A87)*(D24=A102)*B102*D25)</f>
        <v>0</v>
      </c>
      <c r="E66" s="35" t="s">
        <v>124</v>
      </c>
      <c r="F66" s="10" t="s">
        <v>58</v>
      </c>
    </row>
    <row r="67" spans="1:6" ht="17" x14ac:dyDescent="0.45">
      <c r="A67" s="35" t="s">
        <v>51</v>
      </c>
      <c r="B67" s="36">
        <f>SUM(B66:D66)</f>
        <v>-6925.9782089841783</v>
      </c>
      <c r="C67" s="37" t="s">
        <v>124</v>
      </c>
      <c r="D67" s="38"/>
      <c r="E67" s="38"/>
      <c r="F67" s="9" t="s">
        <v>47</v>
      </c>
    </row>
    <row r="68" spans="1:6" ht="17.5" thickBot="1" x14ac:dyDescent="0.5">
      <c r="A68" s="35" t="s">
        <v>44</v>
      </c>
      <c r="B68" s="36">
        <f>SUM(B25:D25)*B93</f>
        <v>47948.308562712526</v>
      </c>
      <c r="C68" s="35" t="s">
        <v>124</v>
      </c>
      <c r="D68" s="38"/>
      <c r="E68" s="38"/>
      <c r="F68" s="9" t="s">
        <v>46</v>
      </c>
    </row>
    <row r="69" spans="1:6" ht="17.5" thickBot="1" x14ac:dyDescent="0.5">
      <c r="A69" s="39" t="s">
        <v>120</v>
      </c>
      <c r="B69" s="40">
        <f>B68-B67</f>
        <v>54874.286771696701</v>
      </c>
      <c r="C69" s="41" t="s">
        <v>124</v>
      </c>
      <c r="D69" s="38"/>
      <c r="E69" s="38"/>
      <c r="F69" s="9" t="s">
        <v>48</v>
      </c>
    </row>
    <row r="70" spans="1:6" ht="17" x14ac:dyDescent="0.45">
      <c r="A70" s="35" t="s">
        <v>49</v>
      </c>
      <c r="B70" s="36">
        <f>SUM((B23=A84)*B84*B26, (B23=A85)*B85*B26, (B23=A85)*B85*B26, (B23=A86)*B86*B26, (B23=A87)*B87*B26, (B23=A88)*B88*B26,  (B23=A90)*B90*B26)+ SUM((B23=A88)*(B24=A101)*B101*B26, (B23=A87)*(B24=A97)*B97*B26, (B23=A87)*(B24=A98)*B98*B26, (B23=A87)*(B24=A99)*B99*B26, (B23=A87)*(B24=A100)*B100*B26, (B23=A87)*(B24=A102)*B102*B26)</f>
        <v>29.454614493059029</v>
      </c>
      <c r="C70" s="36">
        <f>SUM((C23=A84)*B84*C26, (C23=A85)*B85*C26, (C23=A85)*B85*C26, (C23=A86)*B86*C26, (C23=A87)*B87*C26, (C23=A88)*B88*C26,  (C23=A90)*B90*C26)+SUM((C23=A88)*(C24=A101)*B101*C26, (C23=A87)*(C24=A97)*B97*C26, (C23=A87)*(C24=A98)*B98*C26, (C23=A87)*(C24=A99)*B99*C26, (C23=A87)*(C24=A100)*B100*C26, (C23=A87)*(C24=A102)*B102*C26)</f>
        <v>-20804.329021758007</v>
      </c>
      <c r="D70" s="36">
        <f>SUM((D23=A84)*B84*D26, (D23=A85)*B85*D26, (D23=A85)*B85*D26, (D23=A86)*B86*D26, (D23=A87)*B87*D26, (D23=A88)*B88*D26,  (D23=A90)*B90*D26)+SUM((D23=A88)*(D24=A101)*B101*D26, (D23=A87)*(D24=A97)*B97*D26, (D23=A87)*(D24=A98)*B98*D26, (D23=A87)*(D24=A99)*B99*D26, (D23=A87)*(D24=A100)*B100*D26, (D23=A87)*(D24=A102)*B102*D26)</f>
        <v>0</v>
      </c>
      <c r="E70" s="35" t="s">
        <v>124</v>
      </c>
      <c r="F70" s="9"/>
    </row>
    <row r="71" spans="1:6" ht="17" x14ac:dyDescent="0.45">
      <c r="A71" s="35" t="s">
        <v>52</v>
      </c>
      <c r="B71" s="36">
        <f>SUM(B70:D70)</f>
        <v>-20774.87440726495</v>
      </c>
      <c r="C71" s="35" t="s">
        <v>124</v>
      </c>
      <c r="D71" s="38"/>
      <c r="E71" s="38"/>
      <c r="F71" s="9"/>
    </row>
    <row r="72" spans="1:6" ht="17.5" thickBot="1" x14ac:dyDescent="0.5">
      <c r="A72" s="35" t="s">
        <v>42</v>
      </c>
      <c r="B72" s="36">
        <f>SUM(B26:D26)*B94</f>
        <v>25474.347298922155</v>
      </c>
      <c r="C72" s="35" t="s">
        <v>124</v>
      </c>
      <c r="D72" s="38"/>
      <c r="E72" s="38"/>
    </row>
    <row r="73" spans="1:6" ht="17.5" thickBot="1" x14ac:dyDescent="0.5">
      <c r="A73" s="39" t="s">
        <v>119</v>
      </c>
      <c r="B73" s="40">
        <f>B72-B71</f>
        <v>46249.221706187105</v>
      </c>
      <c r="C73" s="41" t="s">
        <v>124</v>
      </c>
      <c r="D73" s="38"/>
      <c r="E73" s="38"/>
    </row>
    <row r="74" spans="1:6" x14ac:dyDescent="0.3">
      <c r="A74" s="38"/>
      <c r="B74" s="42"/>
      <c r="C74" s="38"/>
      <c r="D74" s="38"/>
      <c r="E74" s="38"/>
    </row>
    <row r="75" spans="1:6" ht="17" x14ac:dyDescent="0.45">
      <c r="A75" s="35" t="s">
        <v>121</v>
      </c>
      <c r="B75" s="36">
        <f>B32*B92</f>
        <v>0</v>
      </c>
      <c r="C75" s="35" t="s">
        <v>124</v>
      </c>
      <c r="D75" s="38"/>
      <c r="E75" s="38"/>
    </row>
    <row r="76" spans="1:6" x14ac:dyDescent="0.3">
      <c r="A76" s="38"/>
      <c r="B76" s="42"/>
      <c r="C76" s="38"/>
      <c r="D76" s="38"/>
      <c r="E76" s="38"/>
    </row>
    <row r="77" spans="1:6" ht="14.5" thickBot="1" x14ac:dyDescent="0.35">
      <c r="A77" s="81" t="s">
        <v>127</v>
      </c>
      <c r="B77" s="81"/>
      <c r="C77" s="81"/>
      <c r="D77" s="81"/>
      <c r="E77" s="81"/>
    </row>
    <row r="78" spans="1:6" ht="32" customHeight="1" thickBot="1" x14ac:dyDescent="0.5">
      <c r="A78" s="43" t="s">
        <v>9</v>
      </c>
      <c r="B78" s="40">
        <f>B69-B75</f>
        <v>54874.286771696701</v>
      </c>
      <c r="C78" s="41" t="s">
        <v>124</v>
      </c>
      <c r="D78" s="38"/>
      <c r="E78" s="38"/>
    </row>
    <row r="79" spans="1:6" ht="28.5" thickBot="1" x14ac:dyDescent="0.5">
      <c r="A79" s="44" t="s">
        <v>53</v>
      </c>
      <c r="B79" s="36">
        <f>(B28*$B$93-B28/B25*B66)</f>
        <v>22328.558406950004</v>
      </c>
      <c r="C79" s="36">
        <f>(C28*$B$93-C28/C25*C66)</f>
        <v>12989.567141823385</v>
      </c>
      <c r="D79" s="36">
        <f>(D28*$B$93-D28/D25*D66)</f>
        <v>11926.840572132012</v>
      </c>
      <c r="E79" s="35" t="s">
        <v>124</v>
      </c>
    </row>
    <row r="80" spans="1:6" ht="28.5" thickBot="1" x14ac:dyDescent="0.5">
      <c r="A80" s="43" t="s">
        <v>10</v>
      </c>
      <c r="B80" s="40">
        <f>(B28*$B$93-B28/B25*B66)+(C28*$B$93-C28/C25*C66)+(D28*$B$93-D28/D25*D66)</f>
        <v>47244.966120905403</v>
      </c>
      <c r="C80" s="41" t="s">
        <v>124</v>
      </c>
      <c r="D80" s="38"/>
      <c r="E80" s="38"/>
      <c r="F80" s="9"/>
    </row>
    <row r="82" spans="1:16" x14ac:dyDescent="0.3">
      <c r="A82" s="82" t="s">
        <v>61</v>
      </c>
      <c r="B82" s="82"/>
      <c r="C82" s="82"/>
      <c r="D82" s="82"/>
      <c r="E82" s="82"/>
      <c r="F82" s="82"/>
      <c r="G82" s="82"/>
      <c r="H82" s="82"/>
      <c r="I82" s="82"/>
      <c r="J82" s="82"/>
      <c r="K82" s="82"/>
    </row>
    <row r="83" spans="1:16" x14ac:dyDescent="0.3">
      <c r="A83" s="12" t="s">
        <v>11</v>
      </c>
      <c r="B83" s="77" t="s">
        <v>23</v>
      </c>
      <c r="C83" s="77"/>
      <c r="D83" s="77" t="s">
        <v>22</v>
      </c>
      <c r="E83" s="77"/>
      <c r="F83" s="77"/>
      <c r="G83" s="77"/>
      <c r="H83" s="77"/>
      <c r="I83" s="77"/>
      <c r="J83" s="77"/>
      <c r="K83" s="77"/>
    </row>
    <row r="84" spans="1:16" ht="17" x14ac:dyDescent="0.45">
      <c r="A84" s="13" t="s">
        <v>12</v>
      </c>
      <c r="B84" s="14">
        <v>0</v>
      </c>
      <c r="C84" s="13" t="s">
        <v>59</v>
      </c>
      <c r="D84" s="9"/>
      <c r="E84" s="9"/>
      <c r="F84" s="9"/>
      <c r="G84" s="9"/>
      <c r="H84" s="9"/>
      <c r="I84" s="9"/>
      <c r="J84" s="9"/>
      <c r="K84" s="9"/>
    </row>
    <row r="85" spans="1:16" ht="17" x14ac:dyDescent="0.45">
      <c r="A85" s="13" t="s">
        <v>13</v>
      </c>
      <c r="B85" s="14">
        <v>0</v>
      </c>
      <c r="C85" s="13" t="s">
        <v>59</v>
      </c>
      <c r="D85" s="9"/>
      <c r="E85" s="9"/>
      <c r="F85" s="9"/>
      <c r="G85" s="9"/>
      <c r="H85" s="9"/>
      <c r="I85" s="9"/>
      <c r="J85" s="9"/>
      <c r="K85" s="9"/>
    </row>
    <row r="86" spans="1:16" ht="17" x14ac:dyDescent="0.45">
      <c r="A86" s="13" t="s">
        <v>14</v>
      </c>
      <c r="B86" s="14">
        <v>0</v>
      </c>
      <c r="C86" s="13" t="s">
        <v>59</v>
      </c>
      <c r="D86" s="9"/>
      <c r="E86" s="9"/>
      <c r="F86" s="9"/>
      <c r="G86" s="9"/>
      <c r="H86" s="9"/>
      <c r="I86" s="9"/>
      <c r="J86" s="9"/>
      <c r="K86" s="9"/>
    </row>
    <row r="87" spans="1:16" ht="17" x14ac:dyDescent="0.45">
      <c r="A87" s="13" t="s">
        <v>16</v>
      </c>
      <c r="B87" s="15">
        <f>0.0358/227.778</f>
        <v>1.5717057837016745E-4</v>
      </c>
      <c r="C87" s="13" t="s">
        <v>59</v>
      </c>
      <c r="D87" s="48" t="s">
        <v>134</v>
      </c>
      <c r="E87" s="9"/>
      <c r="F87" s="49" t="s">
        <v>131</v>
      </c>
      <c r="G87" s="9"/>
      <c r="H87" s="9"/>
      <c r="I87" s="9"/>
      <c r="J87" s="9"/>
      <c r="K87" s="9" t="s">
        <v>132</v>
      </c>
    </row>
    <row r="88" spans="1:16" ht="17" x14ac:dyDescent="0.45">
      <c r="A88" s="13" t="s">
        <v>15</v>
      </c>
      <c r="B88" s="15">
        <f>0.0698/227.778</f>
        <v>3.0643872542563376E-4</v>
      </c>
      <c r="C88" s="13" t="s">
        <v>59</v>
      </c>
      <c r="D88" s="48" t="s">
        <v>135</v>
      </c>
      <c r="E88" s="9"/>
      <c r="F88" s="49" t="s">
        <v>131</v>
      </c>
      <c r="G88" s="9"/>
      <c r="H88" s="9"/>
      <c r="I88" s="9"/>
      <c r="J88" s="9"/>
      <c r="K88" s="9" t="s">
        <v>133</v>
      </c>
    </row>
    <row r="89" spans="1:16" ht="17" x14ac:dyDescent="0.45">
      <c r="A89" s="13" t="s">
        <v>145</v>
      </c>
      <c r="B89" s="52">
        <v>0</v>
      </c>
      <c r="C89" s="13" t="s">
        <v>59</v>
      </c>
      <c r="D89" s="51"/>
      <c r="E89" s="9"/>
      <c r="F89" s="49"/>
      <c r="G89" s="9"/>
      <c r="H89" s="9"/>
      <c r="I89" s="9"/>
      <c r="J89" s="9"/>
      <c r="K89" s="9"/>
    </row>
    <row r="90" spans="1:16" x14ac:dyDescent="0.3">
      <c r="A90" s="13" t="s">
        <v>32</v>
      </c>
      <c r="B90" s="14">
        <v>0</v>
      </c>
      <c r="C90" s="13"/>
      <c r="D90" s="9"/>
      <c r="E90" s="9"/>
      <c r="F90" s="9"/>
      <c r="G90" s="9"/>
      <c r="H90" s="9"/>
      <c r="I90" s="9"/>
      <c r="J90" s="9"/>
      <c r="K90" s="9"/>
    </row>
    <row r="91" spans="1:16" x14ac:dyDescent="0.3">
      <c r="B91" s="3"/>
      <c r="D91" s="9"/>
      <c r="E91" s="9"/>
      <c r="F91" s="9"/>
      <c r="G91" s="9"/>
      <c r="H91" s="9"/>
      <c r="I91" s="9"/>
      <c r="J91" s="9"/>
      <c r="K91" s="9"/>
      <c r="M91" s="9"/>
    </row>
    <row r="92" spans="1:16" ht="17" x14ac:dyDescent="0.45">
      <c r="A92" s="13" t="s">
        <v>147</v>
      </c>
      <c r="B92" s="16">
        <v>0.58939890945324136</v>
      </c>
      <c r="C92" s="13" t="s">
        <v>59</v>
      </c>
      <c r="D92" s="17" t="s">
        <v>138</v>
      </c>
      <c r="E92" s="9"/>
      <c r="F92" s="49" t="s">
        <v>136</v>
      </c>
      <c r="G92" s="9"/>
      <c r="H92" s="9"/>
      <c r="I92" s="9"/>
      <c r="J92" s="9"/>
      <c r="K92" s="9" t="s">
        <v>137</v>
      </c>
      <c r="M92" s="9"/>
      <c r="N92" s="9"/>
      <c r="O92" s="9"/>
      <c r="P92" s="9"/>
    </row>
    <row r="93" spans="1:16" ht="17" x14ac:dyDescent="0.45">
      <c r="A93" s="13" t="s">
        <v>17</v>
      </c>
      <c r="B93" s="16">
        <v>0.78586521260432185</v>
      </c>
      <c r="C93" s="13" t="s">
        <v>59</v>
      </c>
      <c r="D93" s="17" t="s">
        <v>139</v>
      </c>
      <c r="E93" s="9"/>
      <c r="F93" s="49" t="s">
        <v>136</v>
      </c>
      <c r="G93" s="9"/>
      <c r="H93" s="9"/>
      <c r="I93" s="9"/>
      <c r="J93" s="9"/>
      <c r="K93" s="9" t="s">
        <v>137</v>
      </c>
      <c r="M93" s="9"/>
      <c r="N93" s="9"/>
      <c r="O93" s="9"/>
      <c r="P93" s="9"/>
    </row>
    <row r="94" spans="1:16" ht="17" x14ac:dyDescent="0.45">
      <c r="A94" s="13" t="s">
        <v>40</v>
      </c>
      <c r="B94" s="16">
        <f>55.29/277.778</f>
        <v>0.19904384076492737</v>
      </c>
      <c r="C94" s="13" t="s">
        <v>59</v>
      </c>
      <c r="D94" s="9" t="s">
        <v>141</v>
      </c>
      <c r="E94" s="9"/>
      <c r="F94" s="49" t="s">
        <v>131</v>
      </c>
      <c r="G94" s="9"/>
      <c r="H94" s="9"/>
      <c r="I94" s="9"/>
      <c r="J94" s="9"/>
      <c r="K94" s="9" t="s">
        <v>140</v>
      </c>
      <c r="M94" s="9"/>
      <c r="N94" s="9"/>
      <c r="O94" s="9"/>
      <c r="P94" s="9"/>
    </row>
    <row r="95" spans="1:16" x14ac:dyDescent="0.3">
      <c r="D95" s="47"/>
      <c r="M95" s="9"/>
      <c r="N95" s="9"/>
      <c r="O95" s="9"/>
      <c r="P95" s="9"/>
    </row>
    <row r="96" spans="1:16" x14ac:dyDescent="0.3">
      <c r="A96" s="12" t="s">
        <v>33</v>
      </c>
      <c r="B96" s="77" t="s">
        <v>34</v>
      </c>
      <c r="C96" s="77"/>
      <c r="D96" s="77" t="s">
        <v>22</v>
      </c>
      <c r="E96" s="77"/>
      <c r="F96" s="77"/>
      <c r="G96" s="77"/>
      <c r="H96" s="77"/>
      <c r="I96" s="77"/>
      <c r="J96" s="77"/>
      <c r="K96" s="77"/>
    </row>
    <row r="97" spans="1:4" ht="17" x14ac:dyDescent="0.45">
      <c r="A97" s="18" t="s">
        <v>28</v>
      </c>
      <c r="B97" s="16">
        <f>-181.406194444444/277.78</f>
        <v>-0.65305707554339409</v>
      </c>
      <c r="C97" s="13" t="s">
        <v>59</v>
      </c>
      <c r="D97" s="9" t="s">
        <v>60</v>
      </c>
    </row>
    <row r="98" spans="1:4" ht="17" x14ac:dyDescent="0.45">
      <c r="A98" s="18" t="s">
        <v>29</v>
      </c>
      <c r="B98" s="16">
        <f>-163.129888888889/277.78</f>
        <v>-0.58726290189678532</v>
      </c>
      <c r="C98" s="13" t="s">
        <v>59</v>
      </c>
      <c r="D98" s="19" t="s">
        <v>36</v>
      </c>
    </row>
    <row r="99" spans="1:4" ht="17" x14ac:dyDescent="0.45">
      <c r="A99" s="18" t="s">
        <v>35</v>
      </c>
      <c r="B99" s="14">
        <v>0</v>
      </c>
      <c r="C99" s="13" t="s">
        <v>59</v>
      </c>
      <c r="D99" s="9" t="s">
        <v>38</v>
      </c>
    </row>
    <row r="100" spans="1:4" ht="17" x14ac:dyDescent="0.45">
      <c r="A100" s="18" t="s">
        <v>30</v>
      </c>
      <c r="B100" s="14">
        <v>0</v>
      </c>
      <c r="C100" s="13" t="s">
        <v>59</v>
      </c>
      <c r="D100" s="9" t="s">
        <v>37</v>
      </c>
    </row>
    <row r="101" spans="1:4" ht="17" x14ac:dyDescent="0.45">
      <c r="A101" s="20" t="s">
        <v>31</v>
      </c>
      <c r="B101" s="14">
        <v>0</v>
      </c>
      <c r="C101" s="13" t="s">
        <v>59</v>
      </c>
      <c r="D101" s="9" t="s">
        <v>62</v>
      </c>
    </row>
    <row r="102" spans="1:4" x14ac:dyDescent="0.3">
      <c r="A102" s="20" t="s">
        <v>32</v>
      </c>
      <c r="B102" s="21"/>
      <c r="C102" s="13"/>
    </row>
    <row r="104" spans="1:4" x14ac:dyDescent="0.3">
      <c r="A104" s="12" t="s">
        <v>73</v>
      </c>
    </row>
    <row r="105" spans="1:4" x14ac:dyDescent="0.3">
      <c r="A105" s="18" t="s">
        <v>104</v>
      </c>
      <c r="B105" s="1" t="s">
        <v>74</v>
      </c>
    </row>
    <row r="106" spans="1:4" x14ac:dyDescent="0.3">
      <c r="A106" s="18" t="s">
        <v>105</v>
      </c>
      <c r="B106" s="1" t="s">
        <v>75</v>
      </c>
    </row>
    <row r="107" spans="1:4" x14ac:dyDescent="0.3">
      <c r="A107" s="18" t="s">
        <v>106</v>
      </c>
      <c r="B107" s="1" t="s">
        <v>76</v>
      </c>
    </row>
  </sheetData>
  <sheetProtection algorithmName="SHA-512" hashValue="KHt7JYPvRD7PHGUCg3S+tw1G0s+sJ+97kOnH9iJEWGtEXBhq329fbrzk50p1pgxkQEdA1s1JFytd5diL97fVPg==" saltValue="o/prdAv/yBKWaBZdnO8rlA==" spinCount="100000" sheet="1" objects="1" scenarios="1"/>
  <mergeCells count="18">
    <mergeCell ref="B96:C96"/>
    <mergeCell ref="D96:K96"/>
    <mergeCell ref="A6:C6"/>
    <mergeCell ref="A19:F19"/>
    <mergeCell ref="B2:C2"/>
    <mergeCell ref="B3:C3"/>
    <mergeCell ref="A65:E65"/>
    <mergeCell ref="A5:C5"/>
    <mergeCell ref="A82:K82"/>
    <mergeCell ref="D83:K83"/>
    <mergeCell ref="B83:C83"/>
    <mergeCell ref="A53:E53"/>
    <mergeCell ref="A77:E77"/>
    <mergeCell ref="A1:C1"/>
    <mergeCell ref="D1:F1"/>
    <mergeCell ref="D2:F2"/>
    <mergeCell ref="D3:F3"/>
    <mergeCell ref="A4:F4"/>
  </mergeCells>
  <phoneticPr fontId="2" type="noConversion"/>
  <dataValidations count="3">
    <dataValidation type="list" allowBlank="1" showInputMessage="1" showErrorMessage="1" sqref="B23:D23" xr:uid="{394D44DE-10CA-4AB4-89FC-4E597A4D235D}">
      <formula1>$A$84:$A$90</formula1>
    </dataValidation>
    <dataValidation type="list" allowBlank="1" showInputMessage="1" showErrorMessage="1" sqref="B24:D24" xr:uid="{EE4E18AB-CA8F-457D-9174-ECD4AA5A1843}">
      <formula1>$A$97:$A$102</formula1>
    </dataValidation>
    <dataValidation type="list" allowBlank="1" showInputMessage="1" showErrorMessage="1" sqref="B38:D38" xr:uid="{98193AD6-D89B-432F-A8CF-5989B3587BD8}">
      <formula1>$A$105:$A$107</formula1>
    </dataValidation>
  </dataValidations>
  <hyperlinks>
    <hyperlink ref="D98" r:id="rId1" xr:uid="{D65E3B37-E562-4B65-8DEE-78BA021AB783}"/>
    <hyperlink ref="F87" r:id="rId2" xr:uid="{DCE9E05F-C0FA-4CD4-9455-1BB9E8FFD0C0}"/>
    <hyperlink ref="F88" r:id="rId3" xr:uid="{738F06FD-27C2-434A-8D90-20846091776F}"/>
    <hyperlink ref="F92" r:id="rId4" display="http://www.taastuvenergeetika.ee/wp-content/uploads/2021/11/ETEK_aastaraamat_2020_veebi.pdf" xr:uid="{72B7B0F2-DA45-4664-9FF1-D232D1D408B7}"/>
    <hyperlink ref="F93" r:id="rId5" display="http://www.taastuvenergeetika.ee/wp-content/uploads/2021/11/ETEK_aastaraamat_2020_veebi.pdf" xr:uid="{219085FD-FAC7-4292-9CE8-54D49546354B}"/>
    <hyperlink ref="F94" r:id="rId6" xr:uid="{334E4CA8-D95B-42F6-9937-032DEEC1AB8A}"/>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E09B49-29C8-4170-B078-AB8B99EE2830}">
  <dimension ref="A1:P108"/>
  <sheetViews>
    <sheetView zoomScale="80" zoomScaleNormal="80" workbookViewId="0">
      <selection activeCell="B10" sqref="B10"/>
    </sheetView>
  </sheetViews>
  <sheetFormatPr defaultColWidth="8.81640625" defaultRowHeight="14" x14ac:dyDescent="0.3"/>
  <cols>
    <col min="1" max="1" width="54.453125" style="1" customWidth="1"/>
    <col min="2" max="4" width="23.08984375" style="1" customWidth="1"/>
    <col min="5" max="5" width="9.90625" style="1" bestFit="1" customWidth="1"/>
    <col min="6" max="12" width="8.81640625" style="1"/>
    <col min="13" max="13" width="11.54296875" style="1" bestFit="1" customWidth="1"/>
    <col min="14" max="14" width="8.81640625" style="1" bestFit="1" customWidth="1"/>
    <col min="15" max="15" width="8.81640625" style="1"/>
    <col min="16" max="16" width="8.81640625" style="1" bestFit="1" customWidth="1"/>
    <col min="17" max="16384" width="8.81640625" style="1"/>
  </cols>
  <sheetData>
    <row r="1" spans="1:9" ht="14.5" customHeight="1" x14ac:dyDescent="0.3">
      <c r="A1" s="66" t="s">
        <v>185</v>
      </c>
      <c r="B1" s="66"/>
      <c r="C1" s="66"/>
      <c r="D1" s="67" t="s">
        <v>65</v>
      </c>
      <c r="E1" s="68"/>
      <c r="F1" s="69"/>
    </row>
    <row r="2" spans="1:9" ht="17" x14ac:dyDescent="0.45">
      <c r="A2" s="26" t="s">
        <v>63</v>
      </c>
      <c r="B2" s="80" t="s">
        <v>146</v>
      </c>
      <c r="C2" s="80"/>
      <c r="D2" s="70" t="s">
        <v>54</v>
      </c>
      <c r="E2" s="71"/>
      <c r="F2" s="72"/>
      <c r="I2" s="1" t="s">
        <v>159</v>
      </c>
    </row>
    <row r="3" spans="1:9" ht="15" customHeight="1" thickBot="1" x14ac:dyDescent="0.35">
      <c r="A3" s="26" t="s">
        <v>64</v>
      </c>
      <c r="B3" s="80" t="s">
        <v>66</v>
      </c>
      <c r="C3" s="80"/>
      <c r="D3" s="73" t="s">
        <v>55</v>
      </c>
      <c r="E3" s="74"/>
      <c r="F3" s="75"/>
    </row>
    <row r="4" spans="1:9" ht="28.5" customHeight="1" x14ac:dyDescent="0.3">
      <c r="A4" s="76" t="s">
        <v>148</v>
      </c>
      <c r="B4" s="76"/>
      <c r="C4" s="76"/>
      <c r="D4" s="76"/>
      <c r="E4" s="76"/>
      <c r="F4" s="76"/>
    </row>
    <row r="5" spans="1:9" x14ac:dyDescent="0.3">
      <c r="A5" s="79" t="s">
        <v>0</v>
      </c>
      <c r="B5" s="79"/>
      <c r="C5" s="79"/>
    </row>
    <row r="6" spans="1:9" x14ac:dyDescent="0.3">
      <c r="A6" s="78" t="s">
        <v>186</v>
      </c>
      <c r="B6" s="78"/>
      <c r="C6" s="78"/>
      <c r="D6" s="9" t="s">
        <v>154</v>
      </c>
    </row>
    <row r="7" spans="1:9" x14ac:dyDescent="0.3">
      <c r="A7" s="27" t="s">
        <v>67</v>
      </c>
      <c r="B7" s="60">
        <v>3</v>
      </c>
      <c r="C7" s="2" t="s">
        <v>1</v>
      </c>
      <c r="E7" s="53"/>
    </row>
    <row r="8" spans="1:9" x14ac:dyDescent="0.3">
      <c r="A8" s="27" t="s">
        <v>177</v>
      </c>
      <c r="B8" s="7">
        <f>SUM(B35:D35)</f>
        <v>26.6</v>
      </c>
      <c r="C8" s="2" t="s">
        <v>2</v>
      </c>
      <c r="D8" s="9" t="s">
        <v>175</v>
      </c>
    </row>
    <row r="9" spans="1:9" x14ac:dyDescent="0.3">
      <c r="A9" s="27" t="s">
        <v>178</v>
      </c>
      <c r="B9" s="7">
        <f>SUM(B36:D36)</f>
        <v>24</v>
      </c>
      <c r="C9" s="2" t="s">
        <v>2</v>
      </c>
      <c r="D9" s="9" t="s">
        <v>176</v>
      </c>
      <c r="E9" s="55"/>
    </row>
    <row r="10" spans="1:9" x14ac:dyDescent="0.3">
      <c r="A10" s="27" t="s">
        <v>108</v>
      </c>
      <c r="B10" s="61">
        <v>0.5</v>
      </c>
      <c r="C10" s="2" t="s">
        <v>109</v>
      </c>
    </row>
    <row r="11" spans="1:9" ht="42" x14ac:dyDescent="0.3">
      <c r="A11" s="27" t="s">
        <v>174</v>
      </c>
      <c r="B11" s="7">
        <f>1/B10</f>
        <v>2</v>
      </c>
      <c r="C11" s="2" t="s">
        <v>110</v>
      </c>
      <c r="D11" s="17" t="s">
        <v>149</v>
      </c>
      <c r="E11" s="55"/>
    </row>
    <row r="12" spans="1:9" ht="28" x14ac:dyDescent="0.3">
      <c r="A12" s="27" t="s">
        <v>172</v>
      </c>
      <c r="B12" s="61">
        <v>20000</v>
      </c>
      <c r="C12" s="2" t="s">
        <v>150</v>
      </c>
      <c r="D12" s="17" t="s">
        <v>149</v>
      </c>
      <c r="E12" s="55"/>
    </row>
    <row r="13" spans="1:9" x14ac:dyDescent="0.3">
      <c r="A13" s="27" t="s">
        <v>153</v>
      </c>
      <c r="B13" s="61">
        <v>10</v>
      </c>
      <c r="C13" s="2" t="s">
        <v>151</v>
      </c>
      <c r="D13" s="17" t="s">
        <v>152</v>
      </c>
    </row>
    <row r="14" spans="1:9" ht="28" x14ac:dyDescent="0.3">
      <c r="A14" s="27" t="s">
        <v>155</v>
      </c>
      <c r="B14" s="62">
        <v>0.01</v>
      </c>
      <c r="C14" s="2" t="s">
        <v>156</v>
      </c>
      <c r="D14" s="17" t="s">
        <v>157</v>
      </c>
      <c r="E14" s="55"/>
    </row>
    <row r="15" spans="1:9" ht="28" x14ac:dyDescent="0.3">
      <c r="A15" s="58" t="s">
        <v>158</v>
      </c>
      <c r="B15" s="61">
        <v>6000000</v>
      </c>
      <c r="C15" s="2" t="s">
        <v>77</v>
      </c>
    </row>
    <row r="16" spans="1:9" x14ac:dyDescent="0.3">
      <c r="A16" s="27" t="s">
        <v>101</v>
      </c>
      <c r="B16" s="7">
        <f>B15/B9</f>
        <v>250000</v>
      </c>
      <c r="C16" s="2" t="s">
        <v>102</v>
      </c>
      <c r="D16" s="17" t="s">
        <v>100</v>
      </c>
    </row>
    <row r="17" spans="1:9" ht="17" x14ac:dyDescent="0.45">
      <c r="A17" s="27" t="s">
        <v>143</v>
      </c>
      <c r="B17" s="65">
        <f>SUM(B59,B64)</f>
        <v>0.78586521260432185</v>
      </c>
      <c r="C17" s="2" t="s">
        <v>144</v>
      </c>
      <c r="D17" s="17" t="s">
        <v>100</v>
      </c>
    </row>
    <row r="18" spans="1:9" x14ac:dyDescent="0.3">
      <c r="B18" s="3"/>
    </row>
    <row r="19" spans="1:9" x14ac:dyDescent="0.3">
      <c r="A19" s="79" t="s">
        <v>3</v>
      </c>
      <c r="B19" s="79"/>
      <c r="C19" s="79"/>
      <c r="D19" s="79"/>
      <c r="E19" s="79"/>
      <c r="F19" s="79"/>
      <c r="G19" s="4" t="s">
        <v>4</v>
      </c>
    </row>
    <row r="20" spans="1:9" x14ac:dyDescent="0.3">
      <c r="A20" s="2" t="s">
        <v>19</v>
      </c>
      <c r="B20" s="60">
        <v>2</v>
      </c>
      <c r="C20" s="1" t="s">
        <v>1</v>
      </c>
    </row>
    <row r="21" spans="1:9" x14ac:dyDescent="0.3">
      <c r="A21" s="5" t="s">
        <v>5</v>
      </c>
      <c r="B21" s="6" t="s">
        <v>24</v>
      </c>
      <c r="C21" s="6" t="s">
        <v>25</v>
      </c>
      <c r="D21" s="6" t="s">
        <v>26</v>
      </c>
      <c r="E21" s="6" t="s">
        <v>39</v>
      </c>
      <c r="F21" s="6" t="s">
        <v>94</v>
      </c>
      <c r="G21" s="9" t="s">
        <v>72</v>
      </c>
    </row>
    <row r="22" spans="1:9" x14ac:dyDescent="0.3">
      <c r="A22" s="2" t="s">
        <v>20</v>
      </c>
      <c r="B22" s="61">
        <v>30</v>
      </c>
      <c r="C22" s="61">
        <v>10</v>
      </c>
      <c r="D22" s="61">
        <v>10</v>
      </c>
      <c r="E22" s="7">
        <f>SUM(B22:D22)</f>
        <v>50</v>
      </c>
      <c r="F22" s="2" t="s">
        <v>2</v>
      </c>
    </row>
    <row r="23" spans="1:9" x14ac:dyDescent="0.3">
      <c r="A23" s="2" t="s">
        <v>21</v>
      </c>
      <c r="B23" s="63" t="s">
        <v>13</v>
      </c>
      <c r="C23" s="63" t="s">
        <v>13</v>
      </c>
      <c r="D23" s="63" t="s">
        <v>12</v>
      </c>
      <c r="E23" s="8" t="s">
        <v>56</v>
      </c>
      <c r="F23" s="2"/>
      <c r="G23" s="59" t="s">
        <v>170</v>
      </c>
    </row>
    <row r="24" spans="1:9" x14ac:dyDescent="0.3">
      <c r="A24" s="2" t="s">
        <v>27</v>
      </c>
      <c r="B24" s="63" t="s">
        <v>32</v>
      </c>
      <c r="C24" s="63" t="s">
        <v>32</v>
      </c>
      <c r="D24" s="63" t="s">
        <v>32</v>
      </c>
      <c r="E24" s="8" t="s">
        <v>56</v>
      </c>
      <c r="F24" s="2"/>
    </row>
    <row r="25" spans="1:9" x14ac:dyDescent="0.3">
      <c r="A25" s="2" t="s">
        <v>90</v>
      </c>
      <c r="B25" s="61">
        <f>15*365*24*0.23*0.95</f>
        <v>28710.899999999998</v>
      </c>
      <c r="C25" s="61">
        <f>5*365*24*0.25*0.97</f>
        <v>10621.5</v>
      </c>
      <c r="D25" s="61">
        <f>5*365*24*0.5*0.99</f>
        <v>21681</v>
      </c>
      <c r="E25" s="7">
        <f t="shared" ref="E25:E30" si="0">SUM(B25:D25)</f>
        <v>61013.399999999994</v>
      </c>
      <c r="F25" s="2" t="s">
        <v>6</v>
      </c>
    </row>
    <row r="26" spans="1:9" x14ac:dyDescent="0.3">
      <c r="A26" s="54" t="s">
        <v>91</v>
      </c>
      <c r="B26" s="61"/>
      <c r="C26" s="61"/>
      <c r="D26" s="61"/>
      <c r="E26" s="7">
        <f t="shared" si="0"/>
        <v>0</v>
      </c>
      <c r="F26" s="2" t="s">
        <v>6</v>
      </c>
      <c r="G26" s="9" t="s">
        <v>41</v>
      </c>
    </row>
    <row r="27" spans="1:9" x14ac:dyDescent="0.3">
      <c r="A27" s="2" t="s">
        <v>84</v>
      </c>
      <c r="B27" s="61">
        <v>75</v>
      </c>
      <c r="C27" s="61">
        <v>85</v>
      </c>
      <c r="D27" s="61">
        <v>70</v>
      </c>
      <c r="E27" s="7">
        <f t="shared" si="0"/>
        <v>230</v>
      </c>
      <c r="F27" s="2" t="s">
        <v>86</v>
      </c>
      <c r="G27" s="9" t="s">
        <v>88</v>
      </c>
    </row>
    <row r="28" spans="1:9" x14ac:dyDescent="0.3">
      <c r="A28" s="2" t="s">
        <v>82</v>
      </c>
      <c r="B28" s="7">
        <f>B25*B27/100</f>
        <v>21533.174999999999</v>
      </c>
      <c r="C28" s="7">
        <f t="shared" ref="C28:D28" si="1">C25*C27/100</f>
        <v>9028.2749999999996</v>
      </c>
      <c r="D28" s="7">
        <f t="shared" si="1"/>
        <v>15176.7</v>
      </c>
      <c r="E28" s="7">
        <f t="shared" si="0"/>
        <v>45738.149999999994</v>
      </c>
      <c r="F28" s="2" t="s">
        <v>6</v>
      </c>
    </row>
    <row r="29" spans="1:9" x14ac:dyDescent="0.3">
      <c r="A29" s="2" t="s">
        <v>85</v>
      </c>
      <c r="B29" s="61"/>
      <c r="C29" s="61"/>
      <c r="D29" s="61"/>
      <c r="E29" s="7">
        <f t="shared" si="0"/>
        <v>0</v>
      </c>
      <c r="F29" s="2" t="s">
        <v>86</v>
      </c>
      <c r="G29" s="9" t="s">
        <v>88</v>
      </c>
    </row>
    <row r="30" spans="1:9" x14ac:dyDescent="0.3">
      <c r="A30" s="2" t="s">
        <v>83</v>
      </c>
      <c r="B30" s="7">
        <f>B26*B29/100</f>
        <v>0</v>
      </c>
      <c r="C30" s="7">
        <f t="shared" ref="C30:D30" si="2">C26*C29/100</f>
        <v>0</v>
      </c>
      <c r="D30" s="7">
        <f t="shared" si="2"/>
        <v>0</v>
      </c>
      <c r="E30" s="7">
        <f t="shared" si="0"/>
        <v>0</v>
      </c>
      <c r="F30" s="2" t="s">
        <v>6</v>
      </c>
    </row>
    <row r="31" spans="1:9" x14ac:dyDescent="0.3">
      <c r="B31" s="3"/>
      <c r="I31" s="55"/>
    </row>
    <row r="32" spans="1:9" x14ac:dyDescent="0.3">
      <c r="A32" s="2" t="s">
        <v>92</v>
      </c>
      <c r="B32" s="61">
        <v>0</v>
      </c>
      <c r="C32" s="2" t="s">
        <v>6</v>
      </c>
      <c r="D32" s="9" t="s">
        <v>169</v>
      </c>
    </row>
    <row r="33" spans="1:7" x14ac:dyDescent="0.3">
      <c r="A33" s="9"/>
      <c r="B33" s="9"/>
      <c r="C33" s="9"/>
      <c r="D33" s="9"/>
    </row>
    <row r="34" spans="1:7" x14ac:dyDescent="0.3">
      <c r="A34" s="5" t="s">
        <v>68</v>
      </c>
      <c r="B34" s="6" t="s">
        <v>69</v>
      </c>
      <c r="C34" s="6" t="s">
        <v>70</v>
      </c>
      <c r="D34" s="6" t="s">
        <v>71</v>
      </c>
      <c r="E34" s="6" t="s">
        <v>39</v>
      </c>
      <c r="F34" s="6" t="s">
        <v>94</v>
      </c>
      <c r="G34" s="9" t="s">
        <v>184</v>
      </c>
    </row>
    <row r="35" spans="1:7" x14ac:dyDescent="0.3">
      <c r="A35" s="2" t="s">
        <v>179</v>
      </c>
      <c r="B35" s="61">
        <v>22</v>
      </c>
      <c r="C35" s="61">
        <v>3.5</v>
      </c>
      <c r="D35" s="61">
        <v>1.1000000000000001</v>
      </c>
      <c r="E35" s="7">
        <f>SUM(B35:D35)</f>
        <v>26.6</v>
      </c>
      <c r="F35" s="2" t="s">
        <v>2</v>
      </c>
      <c r="G35" s="9" t="s">
        <v>182</v>
      </c>
    </row>
    <row r="36" spans="1:7" x14ac:dyDescent="0.3">
      <c r="A36" s="2" t="s">
        <v>180</v>
      </c>
      <c r="B36" s="61">
        <v>20</v>
      </c>
      <c r="C36" s="61">
        <v>3</v>
      </c>
      <c r="D36" s="61">
        <v>1</v>
      </c>
      <c r="E36" s="7">
        <f>SUM(B36:D36)</f>
        <v>24</v>
      </c>
      <c r="F36" s="2" t="s">
        <v>2</v>
      </c>
      <c r="G36" s="9" t="s">
        <v>183</v>
      </c>
    </row>
    <row r="37" spans="1:7" ht="28" x14ac:dyDescent="0.3">
      <c r="A37" s="31" t="s">
        <v>181</v>
      </c>
      <c r="B37" s="32">
        <f>B36*0.5*365*24</f>
        <v>87600</v>
      </c>
      <c r="C37" s="32">
        <f t="shared" ref="C37:D37" si="3">C36*0.5*365*24</f>
        <v>13140</v>
      </c>
      <c r="D37" s="32">
        <f t="shared" si="3"/>
        <v>4380</v>
      </c>
      <c r="E37" s="32">
        <f>SUM(B37:D37)</f>
        <v>105120</v>
      </c>
      <c r="F37" s="33" t="s">
        <v>6</v>
      </c>
      <c r="G37" s="9"/>
    </row>
    <row r="38" spans="1:7" x14ac:dyDescent="0.3">
      <c r="A38" s="2" t="s">
        <v>103</v>
      </c>
      <c r="B38" s="64" t="s">
        <v>105</v>
      </c>
      <c r="C38" s="64" t="s">
        <v>106</v>
      </c>
      <c r="D38" s="64" t="s">
        <v>106</v>
      </c>
      <c r="E38" s="7" t="s">
        <v>56</v>
      </c>
      <c r="F38" s="2"/>
    </row>
    <row r="39" spans="1:7" ht="16" x14ac:dyDescent="0.3">
      <c r="A39" s="2" t="s">
        <v>115</v>
      </c>
      <c r="B39" s="61"/>
      <c r="C39" s="61"/>
      <c r="D39" s="61"/>
      <c r="E39" s="7">
        <f>SUM(B39:D39)</f>
        <v>0</v>
      </c>
      <c r="F39" s="2" t="s">
        <v>78</v>
      </c>
      <c r="G39" s="9"/>
    </row>
    <row r="40" spans="1:7" x14ac:dyDescent="0.3">
      <c r="A40" s="2" t="s">
        <v>95</v>
      </c>
      <c r="B40" s="61">
        <v>25</v>
      </c>
      <c r="C40" s="61">
        <v>15</v>
      </c>
      <c r="D40" s="61">
        <v>30</v>
      </c>
      <c r="E40" s="7" t="s">
        <v>56</v>
      </c>
      <c r="F40" s="2" t="s">
        <v>86</v>
      </c>
    </row>
    <row r="41" spans="1:7" x14ac:dyDescent="0.3">
      <c r="A41" s="2" t="s">
        <v>96</v>
      </c>
      <c r="B41" s="7">
        <f>B25*B40/100</f>
        <v>7177.7250000000004</v>
      </c>
      <c r="C41" s="7">
        <f>C25*C40/100</f>
        <v>1593.2249999999999</v>
      </c>
      <c r="D41" s="7">
        <f>D25*D40/100</f>
        <v>6504.3</v>
      </c>
      <c r="E41" s="7">
        <f>SUM(B41:D41)</f>
        <v>15275.25</v>
      </c>
      <c r="F41" s="2" t="s">
        <v>6</v>
      </c>
    </row>
    <row r="42" spans="1:7" x14ac:dyDescent="0.3">
      <c r="A42" s="2" t="s">
        <v>99</v>
      </c>
      <c r="B42" s="61">
        <v>0</v>
      </c>
      <c r="C42" s="61">
        <v>0</v>
      </c>
      <c r="D42" s="61">
        <v>0</v>
      </c>
      <c r="E42" s="7">
        <f>SUM(B42:D42)</f>
        <v>0</v>
      </c>
      <c r="F42" s="2" t="s">
        <v>6</v>
      </c>
      <c r="G42" s="9" t="s">
        <v>169</v>
      </c>
    </row>
    <row r="43" spans="1:7" x14ac:dyDescent="0.3">
      <c r="A43" s="2" t="s">
        <v>129</v>
      </c>
      <c r="B43" s="7">
        <f>SUM(B41:B42)</f>
        <v>7177.7250000000004</v>
      </c>
      <c r="C43" s="7">
        <f t="shared" ref="C43" si="4">SUM(C41:C42)</f>
        <v>1593.2249999999999</v>
      </c>
      <c r="D43" s="7">
        <f>SUM(D41:D42)</f>
        <v>6504.3</v>
      </c>
      <c r="E43" s="7">
        <f>SUM(B43:D43)</f>
        <v>15275.25</v>
      </c>
      <c r="F43" s="2" t="s">
        <v>79</v>
      </c>
      <c r="G43" s="46" t="s">
        <v>114</v>
      </c>
    </row>
    <row r="44" spans="1:7" x14ac:dyDescent="0.3">
      <c r="A44" s="2" t="s">
        <v>93</v>
      </c>
      <c r="B44" s="61">
        <v>80</v>
      </c>
      <c r="C44" s="61">
        <v>60</v>
      </c>
      <c r="D44" s="61">
        <v>55</v>
      </c>
      <c r="E44" s="7" t="s">
        <v>56</v>
      </c>
      <c r="F44" s="2" t="s">
        <v>86</v>
      </c>
      <c r="G44" s="9" t="s">
        <v>171</v>
      </c>
    </row>
    <row r="45" spans="1:7" x14ac:dyDescent="0.3">
      <c r="A45" s="2" t="s">
        <v>97</v>
      </c>
      <c r="B45" s="7">
        <f>B41*B44/100</f>
        <v>5742.18</v>
      </c>
      <c r="C45" s="7">
        <f>C41*C44/100</f>
        <v>955.93499999999995</v>
      </c>
      <c r="D45" s="7">
        <f>D41*D44/100</f>
        <v>3577.3649999999998</v>
      </c>
      <c r="E45" s="7">
        <f>SUM(B45:D45)</f>
        <v>10275.48</v>
      </c>
      <c r="F45" s="2" t="s">
        <v>6</v>
      </c>
      <c r="G45" s="30"/>
    </row>
    <row r="46" spans="1:7" x14ac:dyDescent="0.3">
      <c r="A46" s="2" t="s">
        <v>117</v>
      </c>
      <c r="B46" s="7">
        <f>B42*B44/100</f>
        <v>0</v>
      </c>
      <c r="C46" s="7">
        <f t="shared" ref="C46:D46" si="5">C42*C44/100</f>
        <v>0</v>
      </c>
      <c r="D46" s="7">
        <f t="shared" si="5"/>
        <v>0</v>
      </c>
      <c r="E46" s="7">
        <f>SUM(B46:D46)</f>
        <v>0</v>
      </c>
      <c r="F46" s="2"/>
      <c r="G46" s="9" t="s">
        <v>173</v>
      </c>
    </row>
    <row r="47" spans="1:7" x14ac:dyDescent="0.3">
      <c r="A47" s="2" t="s">
        <v>98</v>
      </c>
      <c r="B47" s="7">
        <f>SUM(B45:B46)</f>
        <v>5742.18</v>
      </c>
      <c r="C47" s="7">
        <f t="shared" ref="C47:D47" si="6">SUM(C45:C46)</f>
        <v>955.93499999999995</v>
      </c>
      <c r="D47" s="7">
        <f t="shared" si="6"/>
        <v>3577.3649999999998</v>
      </c>
      <c r="E47" s="7">
        <f>SUM(B47:D47)</f>
        <v>10275.48</v>
      </c>
      <c r="F47" s="2" t="s">
        <v>6</v>
      </c>
      <c r="G47" s="46" t="s">
        <v>114</v>
      </c>
    </row>
    <row r="48" spans="1:7" x14ac:dyDescent="0.3">
      <c r="A48" s="2" t="s">
        <v>87</v>
      </c>
      <c r="B48" s="60"/>
      <c r="C48" s="60"/>
      <c r="D48" s="60"/>
      <c r="E48" s="7" t="s">
        <v>56</v>
      </c>
      <c r="F48" s="2" t="s">
        <v>86</v>
      </c>
    </row>
    <row r="49" spans="1:7" x14ac:dyDescent="0.3">
      <c r="A49" s="2" t="s">
        <v>80</v>
      </c>
      <c r="B49" s="7">
        <f>B26*B48/100</f>
        <v>0</v>
      </c>
      <c r="C49" s="7">
        <f>C26*C48/100</f>
        <v>0</v>
      </c>
      <c r="D49" s="7">
        <f>D26*D48/100</f>
        <v>0</v>
      </c>
      <c r="E49" s="7">
        <f>SUM(B49:D49)</f>
        <v>0</v>
      </c>
      <c r="F49" s="2" t="s">
        <v>6</v>
      </c>
    </row>
    <row r="50" spans="1:7" x14ac:dyDescent="0.3">
      <c r="A50" s="2" t="s">
        <v>89</v>
      </c>
      <c r="B50" s="61">
        <v>0</v>
      </c>
      <c r="C50" s="61">
        <v>0</v>
      </c>
      <c r="D50" s="61">
        <v>0</v>
      </c>
      <c r="E50" s="7" t="s">
        <v>56</v>
      </c>
      <c r="F50" s="2" t="s">
        <v>86</v>
      </c>
      <c r="G50" s="9" t="s">
        <v>123</v>
      </c>
    </row>
    <row r="51" spans="1:7" x14ac:dyDescent="0.3">
      <c r="A51" s="2" t="s">
        <v>81</v>
      </c>
      <c r="B51" s="7">
        <f>B50*B50/100</f>
        <v>0</v>
      </c>
      <c r="C51" s="7">
        <f>C47*C50/100</f>
        <v>0</v>
      </c>
      <c r="D51" s="7">
        <f>D47*D50/100</f>
        <v>0</v>
      </c>
      <c r="E51" s="7">
        <f>SUM(B51:D51)</f>
        <v>0</v>
      </c>
      <c r="F51" s="2" t="s">
        <v>6</v>
      </c>
      <c r="G51" s="46" t="s">
        <v>114</v>
      </c>
    </row>
    <row r="52" spans="1:7" x14ac:dyDescent="0.3">
      <c r="A52" s="2" t="s">
        <v>107</v>
      </c>
      <c r="B52" s="7">
        <f>SUM(B44,B50)</f>
        <v>80</v>
      </c>
      <c r="C52" s="7">
        <f t="shared" ref="C52:D52" si="7">SUM(C44,C50)</f>
        <v>60</v>
      </c>
      <c r="D52" s="7">
        <f t="shared" si="7"/>
        <v>55</v>
      </c>
      <c r="E52" s="7" t="s">
        <v>56</v>
      </c>
      <c r="F52" s="2" t="s">
        <v>86</v>
      </c>
    </row>
    <row r="53" spans="1:7" x14ac:dyDescent="0.3">
      <c r="F53" s="46"/>
      <c r="G53" s="46"/>
    </row>
    <row r="54" spans="1:7" x14ac:dyDescent="0.3">
      <c r="A54" s="78" t="s">
        <v>125</v>
      </c>
      <c r="B54" s="78"/>
      <c r="C54" s="78"/>
      <c r="D54" s="78"/>
      <c r="E54" s="78"/>
      <c r="F54" s="46"/>
      <c r="G54" s="46"/>
    </row>
    <row r="55" spans="1:7" ht="17" x14ac:dyDescent="0.45">
      <c r="A55" s="2" t="s">
        <v>118</v>
      </c>
      <c r="B55" s="7">
        <f>(SUM((B23=A85)*B85*B41, (B23=A86)*B86*B41, (B23=A86)*B86*B41, (B23=A87)*B87*B41, (B23=A88)*B88*B41, (B23=A89)*B89*B41,  (B23=A91)*B91*B41)+ SUM((B23=A89)*(B24=A102)*B102*B41, (B23=A88)*(B24=A98)*B98*B41, (B23=A88)*(B24=A99)*B99*B41, (B23=A88)*(B24=A100)*B100*B41, (B23=A88)*(B24=A101)*B101*B41, (B23=A88)*(B24=A103)*B103*B41))+B42*B93</f>
        <v>0</v>
      </c>
      <c r="C55" s="7">
        <f>(SUM((C23=A85)*B85*C41, (C23=A86)*B86*C41, (C23=A86)*B86*C41, (C23=A87)*B87*C41, (C23=A88)*B88*C41, (C23=A89)*B89*C41,  (C23=A91)*B91*C41)+SUM((C23=A89)*(C24=A102)*B102*C41, (C23=A88)*(C24=A98)*B98*C41, (C23=A88)*(C24=A99)*B99*C41, (C23=A88)*(C24=A100)*B100*C41, (C23=A88)*(C24=A101)*B101*C41, (C23=A88)*(C24=A103)*B103*C41))+C42*B93</f>
        <v>0</v>
      </c>
      <c r="D55" s="7">
        <f>(SUM((D23=A85)*B85*D41, (D23=A86)*B86*D41, (D23=A86)*B86*D41, (D23=A87)*B87*D41, (D23=A88)*B88*D41, (D23=A89)*B89*D41,  (D23=A91)*B91*D41)+SUM((D23=A89)*(D24=A102)*B102*D41, (D23=A88)*(D24=A98)*B98*D41, (D23=A88)*(D24=A99)*B99*D41, (D23=A88)*(D24=A100)*B100*D41, (D23=A88)*(D24=A101)*B101*D41, (D23=A88)*(D24=A103)*B103*D41))+D42*B93</f>
        <v>0</v>
      </c>
      <c r="E55" s="2" t="s">
        <v>57</v>
      </c>
      <c r="F55" s="46"/>
      <c r="G55" s="46"/>
    </row>
    <row r="56" spans="1:7" ht="17" x14ac:dyDescent="0.45">
      <c r="A56" s="2" t="s">
        <v>160</v>
      </c>
      <c r="B56" s="7">
        <f>SUM(B55:D55)</f>
        <v>0</v>
      </c>
      <c r="C56" s="11" t="s">
        <v>57</v>
      </c>
      <c r="F56" s="46"/>
      <c r="G56" s="46"/>
    </row>
    <row r="57" spans="1:7" ht="17.5" thickBot="1" x14ac:dyDescent="0.5">
      <c r="A57" s="2" t="s">
        <v>161</v>
      </c>
      <c r="B57" s="7">
        <f>SUM(B47:D47)*B94</f>
        <v>8075.1422748114564</v>
      </c>
      <c r="C57" s="2" t="s">
        <v>57</v>
      </c>
      <c r="F57" s="46"/>
      <c r="G57" s="46"/>
    </row>
    <row r="58" spans="1:7" ht="17.5" thickBot="1" x14ac:dyDescent="0.5">
      <c r="A58" s="22" t="s">
        <v>162</v>
      </c>
      <c r="B58" s="23">
        <f>B57-B56</f>
        <v>8075.1422748114564</v>
      </c>
      <c r="C58" s="24" t="s">
        <v>57</v>
      </c>
      <c r="D58" s="17" t="s">
        <v>114</v>
      </c>
      <c r="F58" s="46"/>
      <c r="G58" s="46"/>
    </row>
    <row r="59" spans="1:7" ht="30" thickBot="1" x14ac:dyDescent="0.5">
      <c r="A59" s="50" t="s">
        <v>163</v>
      </c>
      <c r="B59" s="57">
        <f>IFERROR(B58/E47,0)</f>
        <v>0.78586521260432185</v>
      </c>
      <c r="C59" s="24" t="s">
        <v>144</v>
      </c>
      <c r="D59" s="17" t="s">
        <v>114</v>
      </c>
      <c r="E59" s="46"/>
      <c r="F59" s="46"/>
      <c r="G59" s="46"/>
    </row>
    <row r="60" spans="1:7" ht="17" x14ac:dyDescent="0.45">
      <c r="A60" s="2" t="s">
        <v>164</v>
      </c>
      <c r="B60" s="7">
        <f>SUM((B23=A85)*B85*B49, (B23=A86)*B86*B49, (B23=A86)*B86*B49, (B23=A87)*B87*B49, (B23=A88)*B88*B49, (B23=A89)*B89*B49,  (B23=A91)*B91*B49)+ SUM((B23=A89)*(B24=A102)*B102*B49, (B23=A88)*(B24=A98)*B98*B49, (B23=A88)*(B24=A99)*B99*B49, (B23=A88)*(B24=A100)*B100*B49, (B23=A88)*(B24=A101)*B101*B49, (B23=A88)*(B24=A103)*B103*B49)</f>
        <v>0</v>
      </c>
      <c r="C60" s="7">
        <f>SUM((C23=A85)*B85*C49, (C23=A86)*B86*C49, (C23=A86)*B86*C49, (C23=A87)*B87*C49, (C23=A88)*B88*C49, (C23=A89)*B89*C49,  (C23=A91)*B91*C49)+SUM((C23=A89)*(C24=A102)*B102*C49, (C23=A88)*(C24=A98)*B98*C49, (C23=A88)*(C24=A99)*B99*C49, (C23=A88)*(C24=A100)*B100*C49, (C23=A88)*(C24=A101)*B101*C49, (C23=A88)*(C24=A103)*B103*C49)</f>
        <v>0</v>
      </c>
      <c r="D60" s="7">
        <f>SUM((D23=A85)*B85*D49, (D23=A86)*B86*D49, (D23=A86)*B86*D49, (D23=A87)*B87*D49, (D23=A88)*B88*D49, (D23=A89)*B89*D49,  (D23=A91)*B91*D49)+SUM((D23=A89)*(D24=A102)*B102*D49, (D23=A88)*(D24=A98)*B98*D49, (D23=A88)*(D24=A99)*B99*D49, (D23=A88)*(D24=A100)*B100*D49, (D23=A88)*(D24=A101)*B101*D49, (D23=A88)*(D24=A103)*B103*D49)</f>
        <v>0</v>
      </c>
      <c r="E60" s="2" t="s">
        <v>57</v>
      </c>
      <c r="F60" s="46"/>
      <c r="G60" s="46"/>
    </row>
    <row r="61" spans="1:7" ht="17" x14ac:dyDescent="0.45">
      <c r="A61" s="2" t="s">
        <v>165</v>
      </c>
      <c r="B61" s="34">
        <f>SUM(B60:D60)</f>
        <v>0</v>
      </c>
      <c r="C61" s="2" t="s">
        <v>57</v>
      </c>
      <c r="F61" s="46"/>
      <c r="G61" s="46"/>
    </row>
    <row r="62" spans="1:7" ht="17.5" thickBot="1" x14ac:dyDescent="0.5">
      <c r="A62" s="2" t="s">
        <v>166</v>
      </c>
      <c r="B62" s="34">
        <f>SUM(B51:D51)*B95</f>
        <v>0</v>
      </c>
      <c r="C62" s="2" t="s">
        <v>57</v>
      </c>
      <c r="D62" s="30"/>
      <c r="F62" s="46"/>
      <c r="G62" s="46"/>
    </row>
    <row r="63" spans="1:7" ht="17.5" thickBot="1" x14ac:dyDescent="0.5">
      <c r="A63" s="22" t="s">
        <v>167</v>
      </c>
      <c r="B63" s="45">
        <f>B62-B61</f>
        <v>0</v>
      </c>
      <c r="C63" s="24" t="s">
        <v>57</v>
      </c>
      <c r="D63" s="17" t="s">
        <v>114</v>
      </c>
      <c r="F63" s="46"/>
      <c r="G63" s="46"/>
    </row>
    <row r="64" spans="1:7" ht="30" thickBot="1" x14ac:dyDescent="0.5">
      <c r="A64" s="50" t="s">
        <v>168</v>
      </c>
      <c r="B64" s="56">
        <f>IFERROR(B63/E51,0)</f>
        <v>0</v>
      </c>
      <c r="C64" s="24" t="s">
        <v>144</v>
      </c>
      <c r="D64" s="17" t="s">
        <v>114</v>
      </c>
      <c r="E64" s="46"/>
      <c r="F64" s="46"/>
      <c r="G64" s="46"/>
    </row>
    <row r="65" spans="1:7" x14ac:dyDescent="0.3">
      <c r="F65" s="9"/>
      <c r="G65" s="46"/>
    </row>
    <row r="66" spans="1:7" x14ac:dyDescent="0.3">
      <c r="A66" s="81" t="s">
        <v>7</v>
      </c>
      <c r="B66" s="81"/>
      <c r="C66" s="81"/>
      <c r="D66" s="81"/>
      <c r="E66" s="81"/>
    </row>
    <row r="67" spans="1:7" ht="17" x14ac:dyDescent="0.45">
      <c r="A67" s="35" t="s">
        <v>50</v>
      </c>
      <c r="B67" s="36">
        <f>SUM((B23=A85)*B85*B25, (B23=A86)*B86*B25, (B23=A86)*B86*B25, (B23=A87)*B87*B25, (B23=A88)*B88*B25, (B23=A89)*B89*B25,  (B23=A91)*B91*B25)+ SUM((B23=A89)*(B24=A102)*B102*B25, (B23=A88)*(B24=A98)*B98*B25, (B23=A88)*(B24=A99)*B99*B25, (B23=A88)*(B24=A100)*B100*B25, (B23=A88)*(B24=A101)*B101*B25, (B23=A88)*(B24=A103)*B103*B25)</f>
        <v>0</v>
      </c>
      <c r="C67" s="36">
        <f>SUM((C23=A85)*B85*C25, (C23=A86)*B86*C25, (C23=A86)*B86*C25, (C23=A87)*B87*C25, (C23=A88)*B88*C25, (C23=A89)*B89*C25,  (C23=A91)*B91*C25)+SUM((C23=A89)*(C24=A102)*B102*C25, (C23=A88)*(C24=A98)*B98*C25, (C23=A88)*(C24=A99)*B99*C25, (C23=A88)*(C24=A100)*B100*C25, (C23=A88)*(C24=A101)*B101*C25, (C23=A88)*(C24=A103)*B103*C25)</f>
        <v>0</v>
      </c>
      <c r="D67" s="36">
        <f>SUM((D23=A85)*B85*D25, (D23=A86)*B86*D25, (D23=A86)*B86*D25, (D23=A87)*B87*D25, (D23=A88)*B88*D25, (D23=A89)*B89*D25,  (D23=A91)*B91*D25)+SUM((D23=A89)*(D24=A102)*B102*D25, (D23=A88)*(D24=A98)*B98*D25, (D23=A88)*(D24=A99)*B99*D25, (D23=A88)*(D24=A100)*B100*D25, (D23=A88)*(D24=A101)*B101*D25, (D23=A88)*(D24=A103)*B103*D25)</f>
        <v>0</v>
      </c>
      <c r="E67" s="35" t="s">
        <v>124</v>
      </c>
      <c r="F67" s="10" t="s">
        <v>58</v>
      </c>
    </row>
    <row r="68" spans="1:7" ht="17" x14ac:dyDescent="0.45">
      <c r="A68" s="35" t="s">
        <v>51</v>
      </c>
      <c r="B68" s="36">
        <f>SUM(B67:D67)</f>
        <v>0</v>
      </c>
      <c r="C68" s="37" t="s">
        <v>124</v>
      </c>
      <c r="D68" s="38"/>
      <c r="E68" s="38"/>
      <c r="F68" s="9" t="s">
        <v>47</v>
      </c>
    </row>
    <row r="69" spans="1:7" ht="17.5" thickBot="1" x14ac:dyDescent="0.5">
      <c r="A69" s="35" t="s">
        <v>44</v>
      </c>
      <c r="B69" s="36">
        <f>SUM(B25:D25)*B94</f>
        <v>47948.308562712526</v>
      </c>
      <c r="C69" s="35" t="s">
        <v>124</v>
      </c>
      <c r="D69" s="38"/>
      <c r="E69" s="38"/>
      <c r="F69" s="9" t="s">
        <v>46</v>
      </c>
    </row>
    <row r="70" spans="1:7" ht="17.5" thickBot="1" x14ac:dyDescent="0.5">
      <c r="A70" s="39" t="s">
        <v>45</v>
      </c>
      <c r="B70" s="40">
        <f>B69-B68</f>
        <v>47948.308562712526</v>
      </c>
      <c r="C70" s="41" t="s">
        <v>124</v>
      </c>
      <c r="D70" s="38"/>
      <c r="E70" s="38"/>
      <c r="F70" s="9" t="s">
        <v>48</v>
      </c>
    </row>
    <row r="71" spans="1:7" ht="17" x14ac:dyDescent="0.45">
      <c r="A71" s="35" t="s">
        <v>49</v>
      </c>
      <c r="B71" s="36">
        <f>SUM((B23=A85)*B85*B26, (B23=A86)*B86*B26, (B23=A86)*B86*B26, (B23=A87)*B87*B26, (B23=A88)*B88*B26, (B23=A89)*B89*B26,  (B23=A91)*B91*B26)+ SUM((B23=A89)*(B24=A102)*B102*B26, (B23=A88)*(B24=A98)*B98*B26, (B23=A88)*(B24=A99)*B99*B26, (B23=A88)*(B24=A100)*B100*B26, (B23=A88)*(B24=A101)*B101*B26, (B23=A88)*(B24=A103)*B103*B26)</f>
        <v>0</v>
      </c>
      <c r="C71" s="36">
        <f>SUM((C23=A85)*B85*C26, (C23=A86)*B86*C26, (C23=A86)*B86*C26, (C23=A87)*B87*C26, (C23=A88)*B88*C26, (C23=A89)*B89*C26,  (C23=A91)*B91*C26)+SUM((C23=A89)*(C24=A102)*B102*C26, (C23=A88)*(C24=A98)*B98*C26, (C23=A88)*(C24=A99)*B99*C26, (C23=A88)*(C24=A100)*B100*C26, (C23=A88)*(C24=A101)*B101*C26, (C23=A88)*(C24=A103)*B103*C26)</f>
        <v>0</v>
      </c>
      <c r="D71" s="36">
        <f>SUM((D23=A85)*B85*D26, (D23=A86)*B86*D26, (D23=A86)*B86*D26, (D23=A87)*B87*D26, (D23=A88)*B88*D26, (D23=A89)*B89*D26,  (D23=A91)*B91*D26)+SUM((D23=A89)*(D24=A102)*B102*D26, (D23=A88)*(D24=A98)*B98*D26, (D23=A88)*(D24=A99)*B99*D26, (D23=A88)*(D24=A100)*B100*D26, (D23=A88)*(D24=A101)*B101*D26, (D23=A88)*(D24=A103)*B103*D26)</f>
        <v>0</v>
      </c>
      <c r="E71" s="35" t="s">
        <v>124</v>
      </c>
      <c r="F71" s="9"/>
    </row>
    <row r="72" spans="1:7" ht="17" x14ac:dyDescent="0.45">
      <c r="A72" s="35" t="s">
        <v>52</v>
      </c>
      <c r="B72" s="36">
        <f>SUM(B71:D71)</f>
        <v>0</v>
      </c>
      <c r="C72" s="35" t="s">
        <v>124</v>
      </c>
      <c r="D72" s="38"/>
      <c r="E72" s="38"/>
      <c r="F72" s="9"/>
    </row>
    <row r="73" spans="1:7" ht="17" x14ac:dyDescent="0.45">
      <c r="A73" s="35" t="s">
        <v>42</v>
      </c>
      <c r="B73" s="36">
        <f>SUM(B26:D26)*B95</f>
        <v>0</v>
      </c>
      <c r="C73" s="35" t="s">
        <v>124</v>
      </c>
      <c r="D73" s="38"/>
      <c r="E73" s="38"/>
    </row>
    <row r="74" spans="1:7" ht="17" x14ac:dyDescent="0.45">
      <c r="A74" s="35" t="s">
        <v>43</v>
      </c>
      <c r="B74" s="36">
        <f>B73-B72</f>
        <v>0</v>
      </c>
      <c r="C74" s="35" t="s">
        <v>124</v>
      </c>
      <c r="D74" s="38"/>
      <c r="E74" s="38"/>
    </row>
    <row r="75" spans="1:7" x14ac:dyDescent="0.3">
      <c r="A75" s="38"/>
      <c r="B75" s="42"/>
      <c r="C75" s="38"/>
      <c r="D75" s="38"/>
      <c r="E75" s="38"/>
    </row>
    <row r="76" spans="1:7" ht="17" x14ac:dyDescent="0.45">
      <c r="A76" s="35" t="s">
        <v>8</v>
      </c>
      <c r="B76" s="36">
        <f>B32*B93</f>
        <v>0</v>
      </c>
      <c r="C76" s="35" t="s">
        <v>124</v>
      </c>
      <c r="D76" s="38"/>
      <c r="E76" s="38"/>
    </row>
    <row r="77" spans="1:7" x14ac:dyDescent="0.3">
      <c r="A77" s="38"/>
      <c r="B77" s="42"/>
      <c r="C77" s="38"/>
      <c r="D77" s="38"/>
      <c r="E77" s="38"/>
    </row>
    <row r="78" spans="1:7" ht="14.5" thickBot="1" x14ac:dyDescent="0.35">
      <c r="A78" s="81" t="s">
        <v>127</v>
      </c>
      <c r="B78" s="81"/>
      <c r="C78" s="81"/>
      <c r="D78" s="81"/>
      <c r="E78" s="81"/>
    </row>
    <row r="79" spans="1:7" ht="32" customHeight="1" thickBot="1" x14ac:dyDescent="0.5">
      <c r="A79" s="43" t="s">
        <v>9</v>
      </c>
      <c r="B79" s="40">
        <f>B70-B76</f>
        <v>47948.308562712526</v>
      </c>
      <c r="C79" s="41" t="s">
        <v>124</v>
      </c>
      <c r="D79" s="38"/>
      <c r="E79" s="38"/>
    </row>
    <row r="80" spans="1:7" ht="28.5" thickBot="1" x14ac:dyDescent="0.5">
      <c r="A80" s="44" t="s">
        <v>53</v>
      </c>
      <c r="B80" s="36">
        <f>(B28*$B$94-B28/B25*B67)</f>
        <v>16922.173149421069</v>
      </c>
      <c r="C80" s="36">
        <f>(C28*$B$94-C28/C25*C67)</f>
        <v>7095.0072523252838</v>
      </c>
      <c r="D80" s="36">
        <f>(D28*$B$94-D28/D25*D67)</f>
        <v>11926.840572132012</v>
      </c>
      <c r="E80" s="35" t="s">
        <v>124</v>
      </c>
    </row>
    <row r="81" spans="1:16" ht="28.5" thickBot="1" x14ac:dyDescent="0.5">
      <c r="A81" s="43" t="s">
        <v>10</v>
      </c>
      <c r="B81" s="40">
        <f>(B28*$B$94-B28/B25*B67)+(C28*$B$94-C28/C25*C67)+(D28*$B$94-D28/D25*D67)</f>
        <v>35944.02097387836</v>
      </c>
      <c r="C81" s="41" t="s">
        <v>124</v>
      </c>
      <c r="D81" s="38"/>
      <c r="E81" s="38"/>
      <c r="F81" s="9"/>
    </row>
    <row r="83" spans="1:16" x14ac:dyDescent="0.3">
      <c r="A83" s="82" t="s">
        <v>61</v>
      </c>
      <c r="B83" s="82"/>
      <c r="C83" s="82"/>
      <c r="D83" s="82"/>
      <c r="E83" s="82"/>
      <c r="F83" s="82"/>
      <c r="G83" s="82"/>
      <c r="H83" s="82"/>
      <c r="I83" s="82"/>
      <c r="J83" s="82"/>
      <c r="K83" s="82"/>
    </row>
    <row r="84" spans="1:16" x14ac:dyDescent="0.3">
      <c r="A84" s="12" t="s">
        <v>11</v>
      </c>
      <c r="B84" s="77" t="s">
        <v>23</v>
      </c>
      <c r="C84" s="77"/>
      <c r="D84" s="77" t="s">
        <v>22</v>
      </c>
      <c r="E84" s="77"/>
      <c r="F84" s="77"/>
      <c r="G84" s="77"/>
      <c r="H84" s="77"/>
      <c r="I84" s="77"/>
      <c r="J84" s="77"/>
      <c r="K84" s="77"/>
    </row>
    <row r="85" spans="1:16" ht="17" x14ac:dyDescent="0.45">
      <c r="A85" s="13" t="s">
        <v>12</v>
      </c>
      <c r="B85" s="14">
        <v>0</v>
      </c>
      <c r="C85" s="13" t="s">
        <v>59</v>
      </c>
      <c r="D85" s="9"/>
      <c r="E85" s="9"/>
      <c r="F85" s="9"/>
      <c r="G85" s="9"/>
      <c r="H85" s="9"/>
      <c r="I85" s="9"/>
      <c r="J85" s="9"/>
      <c r="K85" s="9"/>
    </row>
    <row r="86" spans="1:16" ht="17" x14ac:dyDescent="0.45">
      <c r="A86" s="13" t="s">
        <v>13</v>
      </c>
      <c r="B86" s="14">
        <v>0</v>
      </c>
      <c r="C86" s="13" t="s">
        <v>59</v>
      </c>
      <c r="D86" s="9"/>
      <c r="E86" s="9"/>
      <c r="F86" s="9"/>
      <c r="G86" s="9"/>
      <c r="H86" s="9"/>
      <c r="I86" s="9"/>
      <c r="J86" s="9"/>
      <c r="K86" s="9"/>
    </row>
    <row r="87" spans="1:16" ht="17" x14ac:dyDescent="0.45">
      <c r="A87" s="13" t="s">
        <v>14</v>
      </c>
      <c r="B87" s="14">
        <v>0</v>
      </c>
      <c r="C87" s="13" t="s">
        <v>59</v>
      </c>
      <c r="D87" s="9"/>
      <c r="E87" s="9"/>
      <c r="F87" s="9"/>
      <c r="G87" s="9"/>
      <c r="H87" s="9"/>
      <c r="I87" s="9"/>
      <c r="J87" s="9"/>
      <c r="K87" s="9"/>
    </row>
    <row r="88" spans="1:16" ht="17" x14ac:dyDescent="0.45">
      <c r="A88" s="13" t="s">
        <v>16</v>
      </c>
      <c r="B88" s="15">
        <f>0.0358/227.778</f>
        <v>1.5717057837016745E-4</v>
      </c>
      <c r="C88" s="13" t="s">
        <v>59</v>
      </c>
      <c r="D88" s="48" t="s">
        <v>134</v>
      </c>
      <c r="E88" s="9"/>
      <c r="F88" s="49" t="s">
        <v>131</v>
      </c>
      <c r="G88" s="9"/>
      <c r="H88" s="9"/>
      <c r="I88" s="9"/>
      <c r="J88" s="9"/>
      <c r="K88" s="9" t="s">
        <v>132</v>
      </c>
    </row>
    <row r="89" spans="1:16" ht="17" x14ac:dyDescent="0.45">
      <c r="A89" s="13" t="s">
        <v>15</v>
      </c>
      <c r="B89" s="15">
        <f>0.0698/227.778</f>
        <v>3.0643872542563376E-4</v>
      </c>
      <c r="C89" s="13" t="s">
        <v>59</v>
      </c>
      <c r="D89" s="48" t="s">
        <v>142</v>
      </c>
      <c r="E89" s="9"/>
      <c r="F89" s="49" t="s">
        <v>131</v>
      </c>
      <c r="G89" s="9"/>
      <c r="H89" s="9"/>
      <c r="I89" s="9"/>
      <c r="J89" s="9"/>
      <c r="K89" s="9" t="s">
        <v>133</v>
      </c>
    </row>
    <row r="90" spans="1:16" ht="17" x14ac:dyDescent="0.45">
      <c r="A90" s="13" t="s">
        <v>145</v>
      </c>
      <c r="B90" s="52">
        <v>0</v>
      </c>
      <c r="C90" s="13" t="s">
        <v>59</v>
      </c>
      <c r="D90" s="51"/>
      <c r="E90" s="9"/>
      <c r="F90" s="49"/>
      <c r="G90" s="9"/>
      <c r="H90" s="9"/>
      <c r="I90" s="9"/>
      <c r="J90" s="9"/>
      <c r="K90" s="9"/>
    </row>
    <row r="91" spans="1:16" x14ac:dyDescent="0.3">
      <c r="A91" s="13" t="s">
        <v>18</v>
      </c>
      <c r="B91" s="14">
        <v>0</v>
      </c>
      <c r="C91" s="13"/>
      <c r="D91" s="9"/>
      <c r="E91" s="9"/>
      <c r="F91" s="9"/>
      <c r="G91" s="9"/>
      <c r="H91" s="9"/>
      <c r="I91" s="9"/>
      <c r="J91" s="9"/>
      <c r="K91" s="9"/>
    </row>
    <row r="92" spans="1:16" x14ac:dyDescent="0.3">
      <c r="B92" s="3"/>
      <c r="D92" s="9"/>
      <c r="E92" s="9"/>
      <c r="F92" s="9"/>
      <c r="G92" s="9"/>
      <c r="H92" s="9"/>
      <c r="I92" s="9"/>
      <c r="J92" s="9"/>
      <c r="K92" s="9"/>
      <c r="M92" s="9"/>
    </row>
    <row r="93" spans="1:16" ht="17" x14ac:dyDescent="0.45">
      <c r="A93" s="13" t="s">
        <v>147</v>
      </c>
      <c r="B93" s="16">
        <v>0.58939890945324136</v>
      </c>
      <c r="C93" s="13" t="s">
        <v>59</v>
      </c>
      <c r="D93" s="17" t="s">
        <v>138</v>
      </c>
      <c r="E93" s="9"/>
      <c r="F93" s="49" t="s">
        <v>136</v>
      </c>
      <c r="G93" s="9"/>
      <c r="H93" s="9"/>
      <c r="I93" s="9"/>
      <c r="J93" s="9"/>
      <c r="K93" s="9" t="s">
        <v>137</v>
      </c>
      <c r="M93" s="9"/>
      <c r="N93" s="9"/>
      <c r="O93" s="9"/>
      <c r="P93" s="9"/>
    </row>
    <row r="94" spans="1:16" ht="17" x14ac:dyDescent="0.45">
      <c r="A94" s="13" t="s">
        <v>17</v>
      </c>
      <c r="B94" s="16">
        <v>0.78586521260432185</v>
      </c>
      <c r="C94" s="13" t="s">
        <v>59</v>
      </c>
      <c r="D94" s="17" t="s">
        <v>139</v>
      </c>
      <c r="E94" s="9"/>
      <c r="F94" s="49" t="s">
        <v>136</v>
      </c>
      <c r="G94" s="9"/>
      <c r="H94" s="9"/>
      <c r="I94" s="9"/>
      <c r="J94" s="9"/>
      <c r="K94" s="9" t="s">
        <v>137</v>
      </c>
      <c r="M94" s="9"/>
      <c r="N94" s="9"/>
      <c r="O94" s="9"/>
      <c r="P94" s="9"/>
    </row>
    <row r="95" spans="1:16" ht="17" x14ac:dyDescent="0.45">
      <c r="A95" s="13" t="s">
        <v>40</v>
      </c>
      <c r="B95" s="16">
        <f>55.29/277.778</f>
        <v>0.19904384076492737</v>
      </c>
      <c r="C95" s="13" t="s">
        <v>59</v>
      </c>
      <c r="D95" s="9" t="s">
        <v>141</v>
      </c>
      <c r="E95" s="9"/>
      <c r="F95" s="49" t="s">
        <v>131</v>
      </c>
      <c r="G95" s="9"/>
      <c r="H95" s="9"/>
      <c r="I95" s="9"/>
      <c r="J95" s="9"/>
      <c r="K95" s="9" t="s">
        <v>140</v>
      </c>
      <c r="M95" s="9"/>
      <c r="N95" s="9"/>
      <c r="O95" s="9"/>
      <c r="P95" s="9"/>
    </row>
    <row r="96" spans="1:16" x14ac:dyDescent="0.3">
      <c r="M96" s="25"/>
      <c r="N96" s="9"/>
      <c r="O96" s="9"/>
      <c r="P96" s="9"/>
    </row>
    <row r="97" spans="1:11" x14ac:dyDescent="0.3">
      <c r="A97" s="12" t="s">
        <v>33</v>
      </c>
      <c r="B97" s="77" t="s">
        <v>34</v>
      </c>
      <c r="C97" s="77"/>
      <c r="D97" s="77" t="s">
        <v>22</v>
      </c>
      <c r="E97" s="77"/>
      <c r="F97" s="77"/>
      <c r="G97" s="77"/>
      <c r="H97" s="77"/>
      <c r="I97" s="77"/>
      <c r="J97" s="77"/>
      <c r="K97" s="77"/>
    </row>
    <row r="98" spans="1:11" ht="17" x14ac:dyDescent="0.45">
      <c r="A98" s="18" t="s">
        <v>28</v>
      </c>
      <c r="B98" s="16">
        <f>-181.406194444444/277.78</f>
        <v>-0.65305707554339409</v>
      </c>
      <c r="C98" s="13" t="s">
        <v>59</v>
      </c>
      <c r="D98" s="9" t="s">
        <v>60</v>
      </c>
    </row>
    <row r="99" spans="1:11" ht="17" x14ac:dyDescent="0.45">
      <c r="A99" s="18" t="s">
        <v>29</v>
      </c>
      <c r="B99" s="16">
        <f>-163.129888888889/277.78</f>
        <v>-0.58726290189678532</v>
      </c>
      <c r="C99" s="13" t="s">
        <v>59</v>
      </c>
      <c r="D99" s="19" t="s">
        <v>36</v>
      </c>
    </row>
    <row r="100" spans="1:11" ht="17" x14ac:dyDescent="0.45">
      <c r="A100" s="18" t="s">
        <v>35</v>
      </c>
      <c r="B100" s="14">
        <v>0</v>
      </c>
      <c r="C100" s="13" t="s">
        <v>59</v>
      </c>
      <c r="D100" s="9" t="s">
        <v>38</v>
      </c>
    </row>
    <row r="101" spans="1:11" ht="17" x14ac:dyDescent="0.45">
      <c r="A101" s="18" t="s">
        <v>30</v>
      </c>
      <c r="B101" s="14">
        <v>0</v>
      </c>
      <c r="C101" s="13" t="s">
        <v>59</v>
      </c>
      <c r="D101" s="9" t="s">
        <v>37</v>
      </c>
    </row>
    <row r="102" spans="1:11" ht="17" x14ac:dyDescent="0.45">
      <c r="A102" s="20" t="s">
        <v>31</v>
      </c>
      <c r="B102" s="14">
        <v>0</v>
      </c>
      <c r="C102" s="13" t="s">
        <v>59</v>
      </c>
      <c r="D102" s="9" t="s">
        <v>62</v>
      </c>
    </row>
    <row r="103" spans="1:11" x14ac:dyDescent="0.3">
      <c r="A103" s="20" t="s">
        <v>32</v>
      </c>
      <c r="B103" s="21"/>
      <c r="C103" s="13"/>
    </row>
    <row r="105" spans="1:11" x14ac:dyDescent="0.3">
      <c r="A105" s="12" t="s">
        <v>73</v>
      </c>
    </row>
    <row r="106" spans="1:11" x14ac:dyDescent="0.3">
      <c r="A106" s="18" t="s">
        <v>104</v>
      </c>
      <c r="B106" s="1" t="s">
        <v>74</v>
      </c>
    </row>
    <row r="107" spans="1:11" x14ac:dyDescent="0.3">
      <c r="A107" s="18" t="s">
        <v>105</v>
      </c>
      <c r="B107" s="1" t="s">
        <v>75</v>
      </c>
    </row>
    <row r="108" spans="1:11" x14ac:dyDescent="0.3">
      <c r="A108" s="18" t="s">
        <v>106</v>
      </c>
      <c r="B108" s="1" t="s">
        <v>76</v>
      </c>
    </row>
  </sheetData>
  <sheetProtection algorithmName="SHA-512" hashValue="lz9DKucldMU5Yhb28ArdmyMKlHkMSGrPEeU6uKdWEiNMs0H9AoLdgl5vQia/UGabXDt283Ks5oLoV2SHMepycQ==" saltValue="gXAMxzsqL4MkIcOoUABtYA==" spinCount="100000" sheet="1" objects="1" scenarios="1"/>
  <mergeCells count="18">
    <mergeCell ref="B97:C97"/>
    <mergeCell ref="D97:K97"/>
    <mergeCell ref="A4:F4"/>
    <mergeCell ref="A5:C5"/>
    <mergeCell ref="A6:C6"/>
    <mergeCell ref="A19:F19"/>
    <mergeCell ref="A66:E66"/>
    <mergeCell ref="A83:K83"/>
    <mergeCell ref="B84:C84"/>
    <mergeCell ref="D84:K84"/>
    <mergeCell ref="A54:E54"/>
    <mergeCell ref="A78:E78"/>
    <mergeCell ref="A1:C1"/>
    <mergeCell ref="D1:F1"/>
    <mergeCell ref="B2:C2"/>
    <mergeCell ref="D2:F2"/>
    <mergeCell ref="B3:C3"/>
    <mergeCell ref="D3:F3"/>
  </mergeCells>
  <dataValidations disablePrompts="1" count="3">
    <dataValidation type="list" allowBlank="1" showInputMessage="1" showErrorMessage="1" sqref="B38:D38" xr:uid="{2B4A4D1E-705E-43AC-9016-17D22E358C8C}">
      <formula1>$A$106:$A$108</formula1>
    </dataValidation>
    <dataValidation type="list" allowBlank="1" showInputMessage="1" showErrorMessage="1" sqref="B24:D24" xr:uid="{F773636B-323B-49F3-AB3A-E41F96CB32AD}">
      <formula1>$A$98:$A$103</formula1>
    </dataValidation>
    <dataValidation type="list" allowBlank="1" showInputMessage="1" showErrorMessage="1" sqref="B23:D23" xr:uid="{520F3D2C-A14B-47FB-A664-79B361DEA8E8}">
      <formula1>$A$85:$A$91</formula1>
    </dataValidation>
  </dataValidations>
  <hyperlinks>
    <hyperlink ref="D99" r:id="rId1" xr:uid="{30ABA600-6F82-43A5-AC60-957D0B3FB3F8}"/>
    <hyperlink ref="F88" r:id="rId2" xr:uid="{3E6664FC-662F-428E-AB9B-6BBD4F5DED35}"/>
    <hyperlink ref="F89" r:id="rId3" xr:uid="{FFE74BAD-FD1F-46DB-A888-4A47E3588828}"/>
    <hyperlink ref="F93" r:id="rId4" display="http://www.taastuvenergeetika.ee/wp-content/uploads/2021/11/ETEK_aastaraamat_2020_veebi.pdf" xr:uid="{62C9CB4B-C60F-4539-8052-AAAF4F055F79}"/>
    <hyperlink ref="F94" r:id="rId5" display="http://www.taastuvenergeetika.ee/wp-content/uploads/2021/11/ETEK_aastaraamat_2020_veebi.pdf" xr:uid="{5F346B18-2A5A-475A-BE51-A0516230EA49}"/>
    <hyperlink ref="F95" r:id="rId6" xr:uid="{345B5D3C-9B8D-4381-A20B-9D2E68FA3FF9}"/>
  </hyperlinks>
  <pageMargins left="0.7" right="0.7" top="0.75" bottom="0.75" header="0.3" footer="0.3"/>
  <pageSetup orientation="portrait"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2</vt:i4>
      </vt:variant>
    </vt:vector>
  </HeadingPairs>
  <TitlesOfParts>
    <vt:vector size="2" baseType="lpstr">
      <vt:lpstr>Elekter ja soojus</vt:lpstr>
      <vt:lpstr>Elekter &gt; E&amp;S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Eva-Ingrid Rõõm</dc:creator>
  <cp:lastModifiedBy>Eva-Ingrid Rõõm</cp:lastModifiedBy>
  <dcterms:created xsi:type="dcterms:W3CDTF">2022-03-17T11:42:41Z</dcterms:created>
  <dcterms:modified xsi:type="dcterms:W3CDTF">2023-01-31T13:56:53Z</dcterms:modified>
</cp:coreProperties>
</file>